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8"/>
  <workbookPr filterPrivacy="1" codeName="ThisWorkbook"/>
  <xr:revisionPtr revIDLastSave="0" documentId="13_ncr:1_{8516B6E6-EAC0-424E-9279-72AEBAADAA75}" xr6:coauthVersionLast="47" xr6:coauthVersionMax="47" xr10:uidLastSave="{00000000-0000-0000-0000-000000000000}"/>
  <bookViews>
    <workbookView xWindow="0" yWindow="500" windowWidth="28800" windowHeight="16260" tabRatio="850" xr2:uid="{00000000-000D-0000-FFFF-FFFF00000000}"/>
  </bookViews>
  <sheets>
    <sheet name="Branch ATM_1" sheetId="3" r:id="rId1"/>
    <sheet name="CD Ratio_2" sheetId="7" r:id="rId2"/>
    <sheet name="CD Ratio_3(i)" sheetId="9" r:id="rId3"/>
    <sheet name="CD Ratio_3(ii)Dist" sheetId="144" r:id="rId4"/>
    <sheet name="OutstandingAgri_4" sheetId="104" r:id="rId5"/>
    <sheet name="MSMEoutstanding_5" sheetId="103" r:id="rId6"/>
    <sheet name="Pri Sec_outstanding_6" sheetId="107" r:id="rId7"/>
    <sheet name="Weaker Sec_7" sheetId="106" r:id="rId8"/>
    <sheet name="NPS_OS_8" sheetId="105" r:id="rId9"/>
    <sheet name="ACP_Agri_9(i)" sheetId="73" r:id="rId10"/>
    <sheet name="ACP_Agri_9(ii)" sheetId="108" r:id="rId11"/>
    <sheet name="ACP_MSME_10" sheetId="93" r:id="rId12"/>
    <sheet name="ACP_PS_11(i)" sheetId="71" r:id="rId13"/>
    <sheet name="ACP_PS_11(ii)" sheetId="109" r:id="rId14"/>
    <sheet name="ACP_NPS_12" sheetId="110" r:id="rId15"/>
    <sheet name="NPA_13" sheetId="15" r:id="rId16"/>
    <sheet name="NPA_PS_14" sheetId="78" r:id="rId17"/>
    <sheet name="NPA_NPS_15" sheetId="85" r:id="rId18"/>
    <sheet name="NPA_Govt. Sch16" sheetId="77" r:id="rId19"/>
    <sheet name="KCC_17" sheetId="42" r:id="rId20"/>
    <sheet name="Education Loan_18" sheetId="111" r:id="rId21"/>
    <sheet name="SHGs_19" sheetId="113" r:id="rId22"/>
    <sheet name="Restructured Acs_33" sheetId="101" state="hidden" r:id="rId23"/>
    <sheet name="Minority_OS_20" sheetId="114" r:id="rId24"/>
    <sheet name="Minority_Disb_21" sheetId="115" r:id="rId25"/>
    <sheet name="SCST_OS_22" sheetId="116" r:id="rId26"/>
    <sheet name="SCST_Disb_23" sheetId="117" r:id="rId27"/>
    <sheet name="Women_24" sheetId="118" r:id="rId28"/>
    <sheet name="PMJDY_25" sheetId="130" state="hidden" r:id="rId29"/>
    <sheet name="RSETIs_26" sheetId="133" state="hidden" r:id="rId30"/>
    <sheet name="MUDRA_27" sheetId="134" state="hidden" r:id="rId31"/>
    <sheet name="SUI_28_Dist." sheetId="135" state="hidden" r:id="rId32"/>
    <sheet name="PMAY_29" sheetId="137" state="hidden" r:id="rId33"/>
    <sheet name="Aadh_Auh_31" sheetId="139" state="hidden" r:id="rId34"/>
    <sheet name="Aadhaar Auth_31" sheetId="136" state="hidden" r:id="rId35"/>
  </sheets>
  <definedNames>
    <definedName name="_xlnm._FilterDatabase" localSheetId="9" hidden="1">'ACP_Agri_9(i)'!$H$5:$K$51</definedName>
    <definedName name="_xlnm._FilterDatabase" localSheetId="10" hidden="1">'ACP_Agri_9(ii)'!$M$5:$P$56</definedName>
    <definedName name="_xlnm._FilterDatabase" localSheetId="11" hidden="1">ACP_MSME_10!$C$5:$P$56</definedName>
    <definedName name="_xlnm._FilterDatabase" localSheetId="13" hidden="1">'ACP_PS_11(ii)'!$S$5:$T$56</definedName>
    <definedName name="_xlnm._FilterDatabase" localSheetId="1" hidden="1">'CD Ratio_2'!$F$5:$H$54</definedName>
    <definedName name="_xlnm._FilterDatabase" localSheetId="2" hidden="1">'CD Ratio_3(i)'!$C$5:$J$55</definedName>
    <definedName name="_xlnm._FilterDatabase" localSheetId="3" hidden="1">'CD Ratio_3(ii)Dist'!$A$3:$E$56</definedName>
    <definedName name="_xlnm._FilterDatabase" localSheetId="20" hidden="1">'Education Loan_18'!$A$5:$N$6</definedName>
    <definedName name="_xlnm._FilterDatabase" localSheetId="5" hidden="1">MSMEoutstanding_5!$C$5:$N$48</definedName>
    <definedName name="_xlnm._FilterDatabase" localSheetId="18" hidden="1">'NPA_Govt. Sch16'!$A$4:$V$56</definedName>
    <definedName name="_xlnm._FilterDatabase" localSheetId="8" hidden="1">NPS_OS_8!$C$5:$N$52</definedName>
    <definedName name="_xlnm._FilterDatabase" localSheetId="4" hidden="1">OutstandingAgri_4!$C$5:$L$47</definedName>
    <definedName name="_xlnm._FilterDatabase" localSheetId="6" hidden="1">'Pri Sec_outstanding_6'!$C$5:$P$52</definedName>
    <definedName name="CompanyName">#REF!</definedName>
    <definedName name="CustomerLookup">'Branch ATM_1'!#REF!</definedName>
    <definedName name="Invoice_No">#REF!</definedName>
    <definedName name="InvoiceNoDetails">"InvoiceDetails[Invoice No]"</definedName>
    <definedName name="_xlnm.Print_Area" localSheetId="33">Aadh_Auh_31!$A$1:$G$53</definedName>
    <definedName name="_xlnm.Print_Area" localSheetId="34">'Aadhaar Auth_31'!$A$1:$F$48</definedName>
    <definedName name="_xlnm.Print_Area" localSheetId="9">'ACP_Agri_9(i)'!$A$1:$L$59</definedName>
    <definedName name="_xlnm.Print_Area" localSheetId="10">'ACP_Agri_9(ii)'!$A$1:$Q$59</definedName>
    <definedName name="_xlnm.Print_Area" localSheetId="11">ACP_MSME_10!$A$1:$Q$58</definedName>
    <definedName name="_xlnm.Print_Area" localSheetId="14">ACP_NPS_12!$A$1:$Q$58</definedName>
    <definedName name="_xlnm.Print_Area" localSheetId="12">'ACP_PS_11(i)'!$A$1:$Q$58</definedName>
    <definedName name="_xlnm.Print_Area" localSheetId="13">'ACP_PS_11(ii)'!$A$1:$U$59</definedName>
    <definedName name="_xlnm.Print_Area" localSheetId="0">'Branch ATM_1'!$A$1:$G$58</definedName>
    <definedName name="_xlnm.Print_Area" localSheetId="1">'CD Ratio_2'!$A$1:$K$60</definedName>
    <definedName name="_xlnm.Print_Area" localSheetId="2">'CD Ratio_3(i)'!$A$1:$J$60</definedName>
    <definedName name="_xlnm.Print_Area" localSheetId="3">'CD Ratio_3(ii)Dist'!$A$1:$E$57</definedName>
    <definedName name="_xlnm.Print_Area" localSheetId="20">'Education Loan_18'!$A$1:$N$59</definedName>
    <definedName name="_xlnm.Print_Area" localSheetId="19">KCC_17!$A$1:$F$58</definedName>
    <definedName name="_xlnm.Print_Area" localSheetId="24">Minority_Disb_21!$A$1:$P$59</definedName>
    <definedName name="_xlnm.Print_Area" localSheetId="23">Minority_OS_20!$A$1:$P$59</definedName>
    <definedName name="_xlnm.Print_Area" localSheetId="5">MSMEoutstanding_5!$A$1:$O$58</definedName>
    <definedName name="_xlnm.Print_Area" localSheetId="30">MUDRA_27!$A$1:$J$46</definedName>
    <definedName name="_xlnm.Print_Area" localSheetId="15">NPA_13!$A$1:$G$58</definedName>
    <definedName name="_xlnm.Print_Area" localSheetId="18">'NPA_Govt. Sch16'!$A$1:$AA$58</definedName>
    <definedName name="_xlnm.Print_Area" localSheetId="17">NPA_NPS_15!$A$1:$K$59</definedName>
    <definedName name="_xlnm.Print_Area" localSheetId="16">NPA_PS_14!$A$1:$S$58</definedName>
    <definedName name="_xlnm.Print_Area" localSheetId="8">NPS_OS_8!$A$1:$T$58</definedName>
    <definedName name="_xlnm.Print_Area" localSheetId="4">OutstandingAgri_4!$A$1:$M$59</definedName>
    <definedName name="_xlnm.Print_Area" localSheetId="32">PMAY_29!$A$1:$E$68</definedName>
    <definedName name="_xlnm.Print_Area" localSheetId="28">PMJDY_25!$A$1:$H$38</definedName>
    <definedName name="_xlnm.Print_Area" localSheetId="6">'Pri Sec_outstanding_6'!$A$1:$Q$59</definedName>
    <definedName name="_xlnm.Print_Area" localSheetId="29">RSETIs_26!$A$1:$T$56</definedName>
    <definedName name="_xlnm.Print_Area" localSheetId="26">SCST_Disb_23!$A$1:$F$59</definedName>
    <definedName name="_xlnm.Print_Area" localSheetId="25">SCST_OS_22!$A$1:$F$59</definedName>
    <definedName name="_xlnm.Print_Area" localSheetId="21">SHGs_19!$A$1:$J$57</definedName>
    <definedName name="_xlnm.Print_Area" localSheetId="31">SUI_28_Dist.!$A$1:$H$28</definedName>
    <definedName name="_xlnm.Print_Area" localSheetId="7">'Weaker Sec_7'!$A$1:$S$58</definedName>
    <definedName name="_xlnm.Print_Area" localSheetId="27">Women_24!$A$1:$H$59</definedName>
    <definedName name="_xlnm.Print_Titles" localSheetId="0">'Branch ATM_1'!$3:$3</definedName>
    <definedName name="rngInvo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9" l="1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" i="9"/>
  <c r="Q7" i="103"/>
  <c r="R7" i="103" s="1"/>
  <c r="Q8" i="103"/>
  <c r="R8" i="103" s="1"/>
  <c r="Q9" i="103"/>
  <c r="R9" i="103" s="1"/>
  <c r="Q10" i="103"/>
  <c r="R10" i="103" s="1"/>
  <c r="Q11" i="103"/>
  <c r="R11" i="103" s="1"/>
  <c r="Q12" i="103"/>
  <c r="R12" i="103" s="1"/>
  <c r="Q13" i="103"/>
  <c r="R13" i="103" s="1"/>
  <c r="Q14" i="103"/>
  <c r="R14" i="103" s="1"/>
  <c r="Q15" i="103"/>
  <c r="R15" i="103" s="1"/>
  <c r="Q16" i="103"/>
  <c r="R16" i="103" s="1"/>
  <c r="Q17" i="103"/>
  <c r="R17" i="103" s="1"/>
  <c r="Q19" i="103"/>
  <c r="R19" i="103" s="1"/>
  <c r="Q20" i="103"/>
  <c r="R20" i="103" s="1"/>
  <c r="Q21" i="103"/>
  <c r="R21" i="103" s="1"/>
  <c r="Q22" i="103"/>
  <c r="R22" i="103" s="1"/>
  <c r="Q23" i="103"/>
  <c r="R23" i="103" s="1"/>
  <c r="Q24" i="103"/>
  <c r="R24" i="103" s="1"/>
  <c r="Q25" i="103"/>
  <c r="R25" i="103" s="1"/>
  <c r="Q26" i="103"/>
  <c r="R26" i="103" s="1"/>
  <c r="Q27" i="103"/>
  <c r="R27" i="103" s="1"/>
  <c r="Q28" i="103"/>
  <c r="R28" i="103" s="1"/>
  <c r="Q29" i="103"/>
  <c r="R29" i="103" s="1"/>
  <c r="Q30" i="103"/>
  <c r="R30" i="103" s="1"/>
  <c r="Q31" i="103"/>
  <c r="R31" i="103" s="1"/>
  <c r="Q32" i="103"/>
  <c r="R32" i="103" s="1"/>
  <c r="Q33" i="103"/>
  <c r="R33" i="103" s="1"/>
  <c r="Q34" i="103"/>
  <c r="R34" i="103" s="1"/>
  <c r="Q35" i="103"/>
  <c r="R35" i="103" s="1"/>
  <c r="Q36" i="103"/>
  <c r="R36" i="103" s="1"/>
  <c r="Q37" i="103"/>
  <c r="R37" i="103" s="1"/>
  <c r="Q38" i="103"/>
  <c r="R38" i="103" s="1"/>
  <c r="Q39" i="103"/>
  <c r="R39" i="103" s="1"/>
  <c r="Q40" i="103"/>
  <c r="R40" i="103" s="1"/>
  <c r="Q43" i="103"/>
  <c r="R43" i="103" s="1"/>
  <c r="Q44" i="103"/>
  <c r="R44" i="103" s="1"/>
  <c r="Q46" i="103"/>
  <c r="R46" i="103" s="1"/>
  <c r="Q48" i="103"/>
  <c r="R48" i="103" s="1"/>
  <c r="Q49" i="103"/>
  <c r="R49" i="103" s="1"/>
  <c r="Q50" i="103"/>
  <c r="R50" i="103" s="1"/>
  <c r="Q51" i="103"/>
  <c r="R51" i="103" s="1"/>
  <c r="Q52" i="103"/>
  <c r="R52" i="103" s="1"/>
  <c r="Q53" i="103"/>
  <c r="R53" i="103" s="1"/>
  <c r="Q54" i="103"/>
  <c r="R54" i="103" s="1"/>
  <c r="Q55" i="103"/>
  <c r="R55" i="103" s="1"/>
  <c r="Q6" i="103"/>
  <c r="R6" i="103" s="1"/>
  <c r="L19" i="105" l="1"/>
  <c r="L7" i="105" l="1"/>
  <c r="D56" i="144" l="1"/>
  <c r="C56" i="144"/>
  <c r="T7" i="77" l="1"/>
  <c r="U7" i="77"/>
  <c r="T8" i="77"/>
  <c r="U8" i="77"/>
  <c r="T9" i="77"/>
  <c r="U9" i="77"/>
  <c r="T10" i="77"/>
  <c r="U10" i="77"/>
  <c r="T11" i="77"/>
  <c r="U11" i="77"/>
  <c r="T12" i="77"/>
  <c r="U12" i="77"/>
  <c r="T13" i="77"/>
  <c r="U13" i="77"/>
  <c r="T14" i="77"/>
  <c r="U14" i="77"/>
  <c r="T15" i="77"/>
  <c r="U15" i="77"/>
  <c r="T16" i="77"/>
  <c r="U16" i="77"/>
  <c r="T17" i="77"/>
  <c r="U17" i="77"/>
  <c r="T19" i="77"/>
  <c r="U19" i="77"/>
  <c r="T20" i="77"/>
  <c r="U20" i="77"/>
  <c r="T21" i="77"/>
  <c r="U21" i="77"/>
  <c r="T22" i="77"/>
  <c r="U22" i="77"/>
  <c r="T23" i="77"/>
  <c r="U23" i="77"/>
  <c r="T24" i="77"/>
  <c r="U24" i="77"/>
  <c r="T25" i="77"/>
  <c r="U25" i="77"/>
  <c r="T26" i="77"/>
  <c r="U26" i="77"/>
  <c r="T27" i="77"/>
  <c r="U27" i="77"/>
  <c r="V27" i="77" s="1"/>
  <c r="T28" i="77"/>
  <c r="U28" i="77"/>
  <c r="T29" i="77"/>
  <c r="U29" i="77"/>
  <c r="T30" i="77"/>
  <c r="U30" i="77"/>
  <c r="T31" i="77"/>
  <c r="U31" i="77"/>
  <c r="T32" i="77"/>
  <c r="U32" i="77"/>
  <c r="T33" i="77"/>
  <c r="U33" i="77"/>
  <c r="T34" i="77"/>
  <c r="U34" i="77"/>
  <c r="T35" i="77"/>
  <c r="U35" i="77"/>
  <c r="T36" i="77"/>
  <c r="U36" i="77"/>
  <c r="T37" i="77"/>
  <c r="U37" i="77"/>
  <c r="T38" i="77"/>
  <c r="U38" i="77"/>
  <c r="T39" i="77"/>
  <c r="U39" i="77"/>
  <c r="T40" i="77"/>
  <c r="U40" i="77"/>
  <c r="T43" i="77"/>
  <c r="U43" i="77"/>
  <c r="T44" i="77"/>
  <c r="U44" i="77"/>
  <c r="T46" i="77"/>
  <c r="U46" i="77"/>
  <c r="T48" i="77"/>
  <c r="U48" i="77"/>
  <c r="T49" i="77"/>
  <c r="U49" i="77"/>
  <c r="T50" i="77"/>
  <c r="U50" i="77"/>
  <c r="T51" i="77"/>
  <c r="U51" i="77"/>
  <c r="T52" i="77"/>
  <c r="U52" i="77"/>
  <c r="T53" i="77"/>
  <c r="U53" i="77"/>
  <c r="T54" i="77"/>
  <c r="U54" i="77"/>
  <c r="T55" i="77"/>
  <c r="U55" i="77"/>
  <c r="U6" i="77"/>
  <c r="T6" i="77"/>
  <c r="E56" i="111" l="1"/>
  <c r="F56" i="111"/>
  <c r="G56" i="111"/>
  <c r="H56" i="111"/>
  <c r="I56" i="111"/>
  <c r="J56" i="111"/>
  <c r="M56" i="111"/>
  <c r="N56" i="111"/>
  <c r="E47" i="111"/>
  <c r="F47" i="111"/>
  <c r="G47" i="111"/>
  <c r="H47" i="111"/>
  <c r="I47" i="111"/>
  <c r="J47" i="111"/>
  <c r="M47" i="111"/>
  <c r="N47" i="111"/>
  <c r="E45" i="111"/>
  <c r="F45" i="111"/>
  <c r="G45" i="111"/>
  <c r="H45" i="111"/>
  <c r="I45" i="111"/>
  <c r="J45" i="111"/>
  <c r="M45" i="111"/>
  <c r="N45" i="111"/>
  <c r="E41" i="111"/>
  <c r="F41" i="111"/>
  <c r="G41" i="111"/>
  <c r="H41" i="111"/>
  <c r="I41" i="111"/>
  <c r="J41" i="111"/>
  <c r="M41" i="111"/>
  <c r="N41" i="111"/>
  <c r="E18" i="111"/>
  <c r="E42" i="111" s="1"/>
  <c r="F18" i="111"/>
  <c r="F42" i="111" s="1"/>
  <c r="G18" i="111"/>
  <c r="G42" i="111" s="1"/>
  <c r="H18" i="111"/>
  <c r="H42" i="111" s="1"/>
  <c r="I18" i="111"/>
  <c r="I42" i="111" s="1"/>
  <c r="J18" i="111"/>
  <c r="J42" i="111" s="1"/>
  <c r="M18" i="111"/>
  <c r="M42" i="111" s="1"/>
  <c r="N18" i="111"/>
  <c r="K43" i="111"/>
  <c r="L43" i="111"/>
  <c r="K44" i="111"/>
  <c r="K45" i="111" s="1"/>
  <c r="L44" i="111"/>
  <c r="K46" i="111"/>
  <c r="K47" i="111" s="1"/>
  <c r="L46" i="111"/>
  <c r="L47" i="111" s="1"/>
  <c r="K48" i="111"/>
  <c r="L48" i="111"/>
  <c r="K49" i="111"/>
  <c r="L49" i="111"/>
  <c r="K50" i="111"/>
  <c r="L50" i="111"/>
  <c r="K51" i="111"/>
  <c r="L51" i="111"/>
  <c r="K52" i="111"/>
  <c r="L52" i="111"/>
  <c r="K53" i="111"/>
  <c r="L53" i="111"/>
  <c r="K54" i="111"/>
  <c r="L54" i="111"/>
  <c r="K55" i="111"/>
  <c r="L55" i="111"/>
  <c r="K7" i="111"/>
  <c r="L7" i="111"/>
  <c r="K8" i="111"/>
  <c r="L8" i="111"/>
  <c r="K9" i="111"/>
  <c r="L9" i="111"/>
  <c r="K10" i="111"/>
  <c r="L10" i="111"/>
  <c r="K11" i="111"/>
  <c r="L11" i="111"/>
  <c r="K12" i="111"/>
  <c r="L12" i="111"/>
  <c r="K13" i="111"/>
  <c r="L13" i="111"/>
  <c r="K14" i="111"/>
  <c r="L14" i="111"/>
  <c r="K15" i="111"/>
  <c r="L15" i="111"/>
  <c r="K16" i="111"/>
  <c r="L16" i="111"/>
  <c r="K17" i="111"/>
  <c r="L17" i="111"/>
  <c r="K19" i="111"/>
  <c r="L19" i="111"/>
  <c r="K20" i="111"/>
  <c r="L20" i="111"/>
  <c r="K21" i="111"/>
  <c r="L21" i="111"/>
  <c r="K22" i="111"/>
  <c r="L22" i="111"/>
  <c r="K23" i="111"/>
  <c r="L23" i="111"/>
  <c r="K24" i="111"/>
  <c r="L24" i="111"/>
  <c r="K25" i="111"/>
  <c r="L25" i="111"/>
  <c r="K26" i="111"/>
  <c r="L26" i="111"/>
  <c r="K27" i="111"/>
  <c r="L27" i="111"/>
  <c r="K28" i="111"/>
  <c r="L28" i="111"/>
  <c r="K29" i="111"/>
  <c r="L29" i="111"/>
  <c r="K30" i="111"/>
  <c r="L30" i="111"/>
  <c r="K31" i="111"/>
  <c r="L31" i="111"/>
  <c r="K32" i="111"/>
  <c r="L32" i="111"/>
  <c r="K33" i="111"/>
  <c r="L33" i="111"/>
  <c r="K34" i="111"/>
  <c r="L34" i="111"/>
  <c r="K35" i="111"/>
  <c r="L35" i="111"/>
  <c r="K36" i="111"/>
  <c r="L36" i="111"/>
  <c r="K37" i="111"/>
  <c r="L37" i="111"/>
  <c r="K38" i="111"/>
  <c r="L38" i="111"/>
  <c r="K39" i="111"/>
  <c r="L39" i="111"/>
  <c r="K40" i="111"/>
  <c r="L40" i="111"/>
  <c r="L6" i="111"/>
  <c r="K6" i="111"/>
  <c r="K18" i="111" s="1"/>
  <c r="D56" i="106"/>
  <c r="K56" i="106"/>
  <c r="L56" i="106"/>
  <c r="M56" i="106"/>
  <c r="N56" i="106"/>
  <c r="O56" i="106"/>
  <c r="P56" i="106"/>
  <c r="C56" i="106"/>
  <c r="D47" i="106"/>
  <c r="K47" i="106"/>
  <c r="L47" i="106"/>
  <c r="M47" i="106"/>
  <c r="N47" i="106"/>
  <c r="O47" i="106"/>
  <c r="P47" i="106"/>
  <c r="C47" i="106"/>
  <c r="D45" i="106"/>
  <c r="K45" i="106"/>
  <c r="L45" i="106"/>
  <c r="M45" i="106"/>
  <c r="N45" i="106"/>
  <c r="O45" i="106"/>
  <c r="P45" i="106"/>
  <c r="C45" i="106"/>
  <c r="D41" i="106"/>
  <c r="K41" i="106"/>
  <c r="L41" i="106"/>
  <c r="M41" i="106"/>
  <c r="N41" i="106"/>
  <c r="O41" i="106"/>
  <c r="P41" i="106"/>
  <c r="C41" i="106"/>
  <c r="D18" i="106"/>
  <c r="K18" i="106"/>
  <c r="L18" i="106"/>
  <c r="M18" i="106"/>
  <c r="N18" i="106"/>
  <c r="O18" i="106"/>
  <c r="P18" i="106"/>
  <c r="C18" i="106"/>
  <c r="I55" i="106"/>
  <c r="G7" i="106"/>
  <c r="H7" i="106"/>
  <c r="G8" i="106"/>
  <c r="H8" i="106"/>
  <c r="G9" i="106"/>
  <c r="H9" i="106"/>
  <c r="G10" i="106"/>
  <c r="H10" i="106"/>
  <c r="G11" i="106"/>
  <c r="H11" i="106"/>
  <c r="G12" i="106"/>
  <c r="H12" i="106"/>
  <c r="G13" i="106"/>
  <c r="H13" i="106"/>
  <c r="G14" i="106"/>
  <c r="H14" i="106"/>
  <c r="G15" i="106"/>
  <c r="H15" i="106"/>
  <c r="G16" i="106"/>
  <c r="H16" i="106"/>
  <c r="G17" i="106"/>
  <c r="H17" i="106"/>
  <c r="G19" i="106"/>
  <c r="H19" i="106"/>
  <c r="G20" i="106"/>
  <c r="H20" i="106"/>
  <c r="G21" i="106"/>
  <c r="H21" i="106"/>
  <c r="G22" i="106"/>
  <c r="H22" i="106"/>
  <c r="G23" i="106"/>
  <c r="H23" i="106"/>
  <c r="G24" i="106"/>
  <c r="H24" i="106"/>
  <c r="G25" i="106"/>
  <c r="H25" i="106"/>
  <c r="G26" i="106"/>
  <c r="H26" i="106"/>
  <c r="G27" i="106"/>
  <c r="H27" i="106"/>
  <c r="G28" i="106"/>
  <c r="H28" i="106"/>
  <c r="G29" i="106"/>
  <c r="H29" i="106"/>
  <c r="G30" i="106"/>
  <c r="H30" i="106"/>
  <c r="G31" i="106"/>
  <c r="H31" i="106"/>
  <c r="G32" i="106"/>
  <c r="H32" i="106"/>
  <c r="G33" i="106"/>
  <c r="H33" i="106"/>
  <c r="G34" i="106"/>
  <c r="H34" i="106"/>
  <c r="G35" i="106"/>
  <c r="H35" i="106"/>
  <c r="G36" i="106"/>
  <c r="H36" i="106"/>
  <c r="G37" i="106"/>
  <c r="H37" i="106"/>
  <c r="G38" i="106"/>
  <c r="H38" i="106"/>
  <c r="G39" i="106"/>
  <c r="H39" i="106"/>
  <c r="G40" i="106"/>
  <c r="H40" i="106"/>
  <c r="G43" i="106"/>
  <c r="H43" i="106"/>
  <c r="G44" i="106"/>
  <c r="H44" i="106"/>
  <c r="H45" i="106" s="1"/>
  <c r="G46" i="106"/>
  <c r="G47" i="106" s="1"/>
  <c r="H46" i="106"/>
  <c r="H47" i="106" s="1"/>
  <c r="G48" i="106"/>
  <c r="H48" i="106"/>
  <c r="G49" i="106"/>
  <c r="H49" i="106"/>
  <c r="G50" i="106"/>
  <c r="H50" i="106"/>
  <c r="G51" i="106"/>
  <c r="H51" i="106"/>
  <c r="G52" i="106"/>
  <c r="H52" i="106"/>
  <c r="G53" i="106"/>
  <c r="H53" i="106"/>
  <c r="G54" i="106"/>
  <c r="H54" i="106"/>
  <c r="G55" i="106"/>
  <c r="H55" i="106"/>
  <c r="H6" i="106"/>
  <c r="G6" i="106"/>
  <c r="E7" i="106"/>
  <c r="F7" i="106"/>
  <c r="E8" i="106"/>
  <c r="F8" i="106"/>
  <c r="E9" i="106"/>
  <c r="F9" i="106"/>
  <c r="E10" i="106"/>
  <c r="F10" i="106"/>
  <c r="E11" i="106"/>
  <c r="F11" i="106"/>
  <c r="E12" i="106"/>
  <c r="F12" i="106"/>
  <c r="E13" i="106"/>
  <c r="F13" i="106"/>
  <c r="E14" i="106"/>
  <c r="F14" i="106"/>
  <c r="E15" i="106"/>
  <c r="F15" i="106"/>
  <c r="E16" i="106"/>
  <c r="F16" i="106"/>
  <c r="E17" i="106"/>
  <c r="F17" i="106"/>
  <c r="E19" i="106"/>
  <c r="F19" i="106"/>
  <c r="E20" i="106"/>
  <c r="F20" i="106"/>
  <c r="E21" i="106"/>
  <c r="F21" i="106"/>
  <c r="E22" i="106"/>
  <c r="F22" i="106"/>
  <c r="E23" i="106"/>
  <c r="F23" i="106"/>
  <c r="E24" i="106"/>
  <c r="F24" i="106"/>
  <c r="E25" i="106"/>
  <c r="F25" i="106"/>
  <c r="E26" i="106"/>
  <c r="F26" i="106"/>
  <c r="E27" i="106"/>
  <c r="F27" i="106"/>
  <c r="E28" i="106"/>
  <c r="F28" i="106"/>
  <c r="E29" i="106"/>
  <c r="F29" i="106"/>
  <c r="E30" i="106"/>
  <c r="F30" i="106"/>
  <c r="E31" i="106"/>
  <c r="F31" i="106"/>
  <c r="E32" i="106"/>
  <c r="F32" i="106"/>
  <c r="E33" i="106"/>
  <c r="F33" i="106"/>
  <c r="E34" i="106"/>
  <c r="F34" i="106"/>
  <c r="E35" i="106"/>
  <c r="F35" i="106"/>
  <c r="E36" i="106"/>
  <c r="F36" i="106"/>
  <c r="E37" i="106"/>
  <c r="F37" i="106"/>
  <c r="E38" i="106"/>
  <c r="F38" i="106"/>
  <c r="E39" i="106"/>
  <c r="F39" i="106"/>
  <c r="E40" i="106"/>
  <c r="F40" i="106"/>
  <c r="E43" i="106"/>
  <c r="F43" i="106"/>
  <c r="E44" i="106"/>
  <c r="F44" i="106"/>
  <c r="E46" i="106"/>
  <c r="E47" i="106" s="1"/>
  <c r="F46" i="106"/>
  <c r="E48" i="106"/>
  <c r="F48" i="106"/>
  <c r="E49" i="106"/>
  <c r="F49" i="106"/>
  <c r="E50" i="106"/>
  <c r="F50" i="106"/>
  <c r="E51" i="106"/>
  <c r="F51" i="106"/>
  <c r="E52" i="106"/>
  <c r="F52" i="106"/>
  <c r="E53" i="106"/>
  <c r="F53" i="106"/>
  <c r="E54" i="106"/>
  <c r="F54" i="106"/>
  <c r="E55" i="106"/>
  <c r="F55" i="106"/>
  <c r="F6" i="106"/>
  <c r="F18" i="106" s="1"/>
  <c r="E6" i="106"/>
  <c r="E53" i="118"/>
  <c r="E56" i="118" s="1"/>
  <c r="D56" i="118"/>
  <c r="F56" i="118"/>
  <c r="G56" i="118"/>
  <c r="H56" i="118"/>
  <c r="C56" i="118"/>
  <c r="D47" i="118"/>
  <c r="E47" i="118"/>
  <c r="F47" i="118"/>
  <c r="G47" i="118"/>
  <c r="H47" i="118"/>
  <c r="C47" i="118"/>
  <c r="D45" i="118"/>
  <c r="E45" i="118"/>
  <c r="F45" i="118"/>
  <c r="G45" i="118"/>
  <c r="H45" i="118"/>
  <c r="C45" i="118"/>
  <c r="D41" i="118"/>
  <c r="D42" i="118" s="1"/>
  <c r="E41" i="118"/>
  <c r="F41" i="118"/>
  <c r="G41" i="118"/>
  <c r="H41" i="118"/>
  <c r="H42" i="118" s="1"/>
  <c r="H57" i="118" s="1"/>
  <c r="C41" i="118"/>
  <c r="D18" i="118"/>
  <c r="E18" i="118"/>
  <c r="F18" i="118"/>
  <c r="G18" i="118"/>
  <c r="H18" i="118"/>
  <c r="C18" i="118"/>
  <c r="D56" i="117"/>
  <c r="E56" i="117"/>
  <c r="F56" i="117"/>
  <c r="C56" i="117"/>
  <c r="D47" i="117"/>
  <c r="E47" i="117"/>
  <c r="F47" i="117"/>
  <c r="C47" i="117"/>
  <c r="D45" i="117"/>
  <c r="E45" i="117"/>
  <c r="F45" i="117"/>
  <c r="C45" i="117"/>
  <c r="D41" i="117"/>
  <c r="E41" i="117"/>
  <c r="E42" i="117" s="1"/>
  <c r="E57" i="117" s="1"/>
  <c r="F41" i="117"/>
  <c r="C41" i="117"/>
  <c r="C42" i="117" s="1"/>
  <c r="D18" i="117"/>
  <c r="D42" i="117" s="1"/>
  <c r="E18" i="117"/>
  <c r="F18" i="117"/>
  <c r="F42" i="117" s="1"/>
  <c r="C18" i="117"/>
  <c r="D56" i="116"/>
  <c r="E56" i="116"/>
  <c r="F56" i="116"/>
  <c r="C56" i="116"/>
  <c r="D47" i="116"/>
  <c r="E47" i="116"/>
  <c r="F47" i="116"/>
  <c r="C47" i="116"/>
  <c r="D45" i="116"/>
  <c r="E45" i="116"/>
  <c r="F45" i="116"/>
  <c r="C45" i="116"/>
  <c r="D41" i="116"/>
  <c r="D42" i="116" s="1"/>
  <c r="E41" i="116"/>
  <c r="E42" i="116" s="1"/>
  <c r="F41" i="116"/>
  <c r="F42" i="116" s="1"/>
  <c r="C41" i="116"/>
  <c r="C42" i="116" s="1"/>
  <c r="D18" i="116"/>
  <c r="E18" i="116"/>
  <c r="F18" i="116"/>
  <c r="C18" i="116"/>
  <c r="D56" i="115"/>
  <c r="E56" i="115"/>
  <c r="F56" i="115"/>
  <c r="G56" i="115"/>
  <c r="H56" i="115"/>
  <c r="I56" i="115"/>
  <c r="I57" i="115" s="1"/>
  <c r="J56" i="115"/>
  <c r="K56" i="115"/>
  <c r="K57" i="115" s="1"/>
  <c r="L56" i="115"/>
  <c r="M56" i="115"/>
  <c r="M57" i="115" s="1"/>
  <c r="N56" i="115"/>
  <c r="C56" i="115"/>
  <c r="D47" i="115"/>
  <c r="E47" i="115"/>
  <c r="F47" i="115"/>
  <c r="G47" i="115"/>
  <c r="H47" i="115"/>
  <c r="I47" i="115"/>
  <c r="J47" i="115"/>
  <c r="K47" i="115"/>
  <c r="L47" i="115"/>
  <c r="M47" i="115"/>
  <c r="N47" i="115"/>
  <c r="C47" i="115"/>
  <c r="D45" i="115"/>
  <c r="E45" i="115"/>
  <c r="F45" i="115"/>
  <c r="G45" i="115"/>
  <c r="H45" i="115"/>
  <c r="I45" i="115"/>
  <c r="J45" i="115"/>
  <c r="K45" i="115"/>
  <c r="L45" i="115"/>
  <c r="M45" i="115"/>
  <c r="N45" i="115"/>
  <c r="P45" i="115"/>
  <c r="C45" i="115"/>
  <c r="I42" i="115"/>
  <c r="M42" i="115"/>
  <c r="D41" i="115"/>
  <c r="E41" i="115"/>
  <c r="F41" i="115"/>
  <c r="G41" i="115"/>
  <c r="G42" i="115" s="1"/>
  <c r="G57" i="115" s="1"/>
  <c r="H41" i="115"/>
  <c r="H42" i="115" s="1"/>
  <c r="I41" i="115"/>
  <c r="J41" i="115"/>
  <c r="J42" i="115" s="1"/>
  <c r="K41" i="115"/>
  <c r="K42" i="115" s="1"/>
  <c r="L41" i="115"/>
  <c r="L42" i="115" s="1"/>
  <c r="M41" i="115"/>
  <c r="N41" i="115"/>
  <c r="C41" i="115"/>
  <c r="D18" i="115"/>
  <c r="E18" i="115"/>
  <c r="F18" i="115"/>
  <c r="F42" i="115" s="1"/>
  <c r="G18" i="115"/>
  <c r="H18" i="115"/>
  <c r="I18" i="115"/>
  <c r="J18" i="115"/>
  <c r="K18" i="115"/>
  <c r="L18" i="115"/>
  <c r="M18" i="115"/>
  <c r="N18" i="115"/>
  <c r="N42" i="115" s="1"/>
  <c r="C18" i="115"/>
  <c r="O7" i="115"/>
  <c r="P7" i="115"/>
  <c r="O8" i="115"/>
  <c r="O18" i="115" s="1"/>
  <c r="P8" i="115"/>
  <c r="O9" i="115"/>
  <c r="P9" i="115"/>
  <c r="O10" i="115"/>
  <c r="P10" i="115"/>
  <c r="O11" i="115"/>
  <c r="P11" i="115"/>
  <c r="O12" i="115"/>
  <c r="P12" i="115"/>
  <c r="O13" i="115"/>
  <c r="P13" i="115"/>
  <c r="O14" i="115"/>
  <c r="P14" i="115"/>
  <c r="O15" i="115"/>
  <c r="P15" i="115"/>
  <c r="O16" i="115"/>
  <c r="P16" i="115"/>
  <c r="O17" i="115"/>
  <c r="P17" i="115"/>
  <c r="O19" i="115"/>
  <c r="P19" i="115"/>
  <c r="O20" i="115"/>
  <c r="P20" i="115"/>
  <c r="O21" i="115"/>
  <c r="P21" i="115"/>
  <c r="O22" i="115"/>
  <c r="P22" i="115"/>
  <c r="O23" i="115"/>
  <c r="P23" i="115"/>
  <c r="O24" i="115"/>
  <c r="P24" i="115"/>
  <c r="O25" i="115"/>
  <c r="P25" i="115"/>
  <c r="O26" i="115"/>
  <c r="P26" i="115"/>
  <c r="O27" i="115"/>
  <c r="P27" i="115"/>
  <c r="O28" i="115"/>
  <c r="P28" i="115"/>
  <c r="O29" i="115"/>
  <c r="P29" i="115"/>
  <c r="O30" i="115"/>
  <c r="P30" i="115"/>
  <c r="O31" i="115"/>
  <c r="P31" i="115"/>
  <c r="O32" i="115"/>
  <c r="P32" i="115"/>
  <c r="O33" i="115"/>
  <c r="P33" i="115"/>
  <c r="O34" i="115"/>
  <c r="P34" i="115"/>
  <c r="O35" i="115"/>
  <c r="P35" i="115"/>
  <c r="O36" i="115"/>
  <c r="P36" i="115"/>
  <c r="O37" i="115"/>
  <c r="P37" i="115"/>
  <c r="O38" i="115"/>
  <c r="P38" i="115"/>
  <c r="O39" i="115"/>
  <c r="P39" i="115"/>
  <c r="O40" i="115"/>
  <c r="P40" i="115"/>
  <c r="O43" i="115"/>
  <c r="O45" i="115" s="1"/>
  <c r="P43" i="115"/>
  <c r="O44" i="115"/>
  <c r="P44" i="115"/>
  <c r="O46" i="115"/>
  <c r="O47" i="115" s="1"/>
  <c r="P46" i="115"/>
  <c r="P47" i="115" s="1"/>
  <c r="O48" i="115"/>
  <c r="P48" i="115"/>
  <c r="O49" i="115"/>
  <c r="P49" i="115"/>
  <c r="O50" i="115"/>
  <c r="P50" i="115"/>
  <c r="O51" i="115"/>
  <c r="P51" i="115"/>
  <c r="O52" i="115"/>
  <c r="P52" i="115"/>
  <c r="O53" i="115"/>
  <c r="P53" i="115"/>
  <c r="O54" i="115"/>
  <c r="P54" i="115"/>
  <c r="O55" i="115"/>
  <c r="P55" i="115"/>
  <c r="P6" i="115"/>
  <c r="O6" i="115"/>
  <c r="D56" i="114"/>
  <c r="E56" i="114"/>
  <c r="F56" i="114"/>
  <c r="F57" i="114" s="1"/>
  <c r="G56" i="114"/>
  <c r="G57" i="114" s="1"/>
  <c r="H56" i="114"/>
  <c r="I56" i="114"/>
  <c r="J56" i="114"/>
  <c r="J57" i="114" s="1"/>
  <c r="K56" i="114"/>
  <c r="K57" i="114" s="1"/>
  <c r="L56" i="114"/>
  <c r="M56" i="114"/>
  <c r="N56" i="114"/>
  <c r="N57" i="114" s="1"/>
  <c r="C56" i="114"/>
  <c r="C57" i="114" s="1"/>
  <c r="D47" i="114"/>
  <c r="E47" i="114"/>
  <c r="F47" i="114"/>
  <c r="G47" i="114"/>
  <c r="H47" i="114"/>
  <c r="I47" i="114"/>
  <c r="J47" i="114"/>
  <c r="K47" i="114"/>
  <c r="L47" i="114"/>
  <c r="M47" i="114"/>
  <c r="N47" i="114"/>
  <c r="O47" i="114"/>
  <c r="C47" i="114"/>
  <c r="D45" i="114"/>
  <c r="E45" i="114"/>
  <c r="F45" i="114"/>
  <c r="G45" i="114"/>
  <c r="H45" i="114"/>
  <c r="I45" i="114"/>
  <c r="J45" i="114"/>
  <c r="K45" i="114"/>
  <c r="L45" i="114"/>
  <c r="M45" i="114"/>
  <c r="N45" i="114"/>
  <c r="C45" i="114"/>
  <c r="D41" i="114"/>
  <c r="D42" i="114" s="1"/>
  <c r="E41" i="114"/>
  <c r="E42" i="114" s="1"/>
  <c r="F41" i="114"/>
  <c r="F42" i="114" s="1"/>
  <c r="G41" i="114"/>
  <c r="H41" i="114"/>
  <c r="H42" i="114" s="1"/>
  <c r="I41" i="114"/>
  <c r="I42" i="114" s="1"/>
  <c r="J41" i="114"/>
  <c r="J42" i="114" s="1"/>
  <c r="K41" i="114"/>
  <c r="L41" i="114"/>
  <c r="L42" i="114" s="1"/>
  <c r="M41" i="114"/>
  <c r="M42" i="114" s="1"/>
  <c r="N41" i="114"/>
  <c r="N42" i="114" s="1"/>
  <c r="C41" i="114"/>
  <c r="C42" i="114" s="1"/>
  <c r="D18" i="114"/>
  <c r="E18" i="114"/>
  <c r="F18" i="114"/>
  <c r="G18" i="114"/>
  <c r="G42" i="114" s="1"/>
  <c r="H18" i="114"/>
  <c r="I18" i="114"/>
  <c r="J18" i="114"/>
  <c r="K18" i="114"/>
  <c r="K42" i="114" s="1"/>
  <c r="L18" i="114"/>
  <c r="M18" i="114"/>
  <c r="N18" i="114"/>
  <c r="C18" i="114"/>
  <c r="O7" i="114"/>
  <c r="I7" i="106" s="1"/>
  <c r="P7" i="114"/>
  <c r="J7" i="106" s="1"/>
  <c r="O8" i="114"/>
  <c r="I8" i="106" s="1"/>
  <c r="P8" i="114"/>
  <c r="J8" i="106" s="1"/>
  <c r="O9" i="114"/>
  <c r="I9" i="106" s="1"/>
  <c r="P9" i="114"/>
  <c r="J9" i="106" s="1"/>
  <c r="O10" i="114"/>
  <c r="I10" i="106" s="1"/>
  <c r="P10" i="114"/>
  <c r="J10" i="106" s="1"/>
  <c r="O11" i="114"/>
  <c r="I11" i="106" s="1"/>
  <c r="P11" i="114"/>
  <c r="J11" i="106" s="1"/>
  <c r="O12" i="114"/>
  <c r="I12" i="106" s="1"/>
  <c r="P12" i="114"/>
  <c r="J12" i="106" s="1"/>
  <c r="O13" i="114"/>
  <c r="I13" i="106" s="1"/>
  <c r="P13" i="114"/>
  <c r="J13" i="106" s="1"/>
  <c r="O14" i="114"/>
  <c r="I14" i="106" s="1"/>
  <c r="P14" i="114"/>
  <c r="J14" i="106" s="1"/>
  <c r="O15" i="114"/>
  <c r="I15" i="106" s="1"/>
  <c r="P15" i="114"/>
  <c r="J15" i="106" s="1"/>
  <c r="O16" i="114"/>
  <c r="I16" i="106" s="1"/>
  <c r="P16" i="114"/>
  <c r="J16" i="106" s="1"/>
  <c r="O17" i="114"/>
  <c r="I17" i="106" s="1"/>
  <c r="P17" i="114"/>
  <c r="J17" i="106" s="1"/>
  <c r="O19" i="114"/>
  <c r="I19" i="106" s="1"/>
  <c r="P19" i="114"/>
  <c r="P41" i="114" s="1"/>
  <c r="O20" i="114"/>
  <c r="I20" i="106" s="1"/>
  <c r="P20" i="114"/>
  <c r="J20" i="106" s="1"/>
  <c r="O21" i="114"/>
  <c r="I21" i="106" s="1"/>
  <c r="P21" i="114"/>
  <c r="J21" i="106" s="1"/>
  <c r="O22" i="114"/>
  <c r="I22" i="106" s="1"/>
  <c r="P22" i="114"/>
  <c r="J22" i="106" s="1"/>
  <c r="O23" i="114"/>
  <c r="I23" i="106" s="1"/>
  <c r="P23" i="114"/>
  <c r="J23" i="106" s="1"/>
  <c r="O24" i="114"/>
  <c r="I24" i="106" s="1"/>
  <c r="P24" i="114"/>
  <c r="J24" i="106" s="1"/>
  <c r="O25" i="114"/>
  <c r="I25" i="106" s="1"/>
  <c r="P25" i="114"/>
  <c r="J25" i="106" s="1"/>
  <c r="O26" i="114"/>
  <c r="I26" i="106" s="1"/>
  <c r="P26" i="114"/>
  <c r="J26" i="106" s="1"/>
  <c r="O27" i="114"/>
  <c r="I27" i="106" s="1"/>
  <c r="P27" i="114"/>
  <c r="J27" i="106" s="1"/>
  <c r="O28" i="114"/>
  <c r="I28" i="106" s="1"/>
  <c r="P28" i="114"/>
  <c r="J28" i="106" s="1"/>
  <c r="O29" i="114"/>
  <c r="I29" i="106" s="1"/>
  <c r="P29" i="114"/>
  <c r="J29" i="106" s="1"/>
  <c r="O30" i="114"/>
  <c r="I30" i="106" s="1"/>
  <c r="P30" i="114"/>
  <c r="J30" i="106" s="1"/>
  <c r="O31" i="114"/>
  <c r="I31" i="106" s="1"/>
  <c r="P31" i="114"/>
  <c r="J31" i="106" s="1"/>
  <c r="O32" i="114"/>
  <c r="I32" i="106" s="1"/>
  <c r="P32" i="114"/>
  <c r="J32" i="106" s="1"/>
  <c r="O33" i="114"/>
  <c r="I33" i="106" s="1"/>
  <c r="P33" i="114"/>
  <c r="J33" i="106" s="1"/>
  <c r="O34" i="114"/>
  <c r="I34" i="106" s="1"/>
  <c r="P34" i="114"/>
  <c r="J34" i="106" s="1"/>
  <c r="O35" i="114"/>
  <c r="I35" i="106" s="1"/>
  <c r="P35" i="114"/>
  <c r="J35" i="106" s="1"/>
  <c r="O36" i="114"/>
  <c r="I36" i="106" s="1"/>
  <c r="P36" i="114"/>
  <c r="J36" i="106" s="1"/>
  <c r="O37" i="114"/>
  <c r="I37" i="106" s="1"/>
  <c r="P37" i="114"/>
  <c r="J37" i="106" s="1"/>
  <c r="O38" i="114"/>
  <c r="I38" i="106" s="1"/>
  <c r="P38" i="114"/>
  <c r="J38" i="106" s="1"/>
  <c r="O39" i="114"/>
  <c r="I39" i="106" s="1"/>
  <c r="P39" i="114"/>
  <c r="J39" i="106" s="1"/>
  <c r="O40" i="114"/>
  <c r="I40" i="106" s="1"/>
  <c r="P40" i="114"/>
  <c r="J40" i="106" s="1"/>
  <c r="O43" i="114"/>
  <c r="I43" i="106" s="1"/>
  <c r="P43" i="114"/>
  <c r="P45" i="114" s="1"/>
  <c r="O44" i="114"/>
  <c r="I44" i="106" s="1"/>
  <c r="P44" i="114"/>
  <c r="J44" i="106" s="1"/>
  <c r="O46" i="114"/>
  <c r="I46" i="106" s="1"/>
  <c r="I47" i="106" s="1"/>
  <c r="P46" i="114"/>
  <c r="P47" i="114" s="1"/>
  <c r="O48" i="114"/>
  <c r="I48" i="106" s="1"/>
  <c r="P48" i="114"/>
  <c r="P56" i="114" s="1"/>
  <c r="O49" i="114"/>
  <c r="I49" i="106" s="1"/>
  <c r="P49" i="114"/>
  <c r="J49" i="106" s="1"/>
  <c r="O50" i="114"/>
  <c r="I50" i="106" s="1"/>
  <c r="P50" i="114"/>
  <c r="J50" i="106" s="1"/>
  <c r="O51" i="114"/>
  <c r="I51" i="106" s="1"/>
  <c r="P51" i="114"/>
  <c r="J51" i="106" s="1"/>
  <c r="O52" i="114"/>
  <c r="I52" i="106" s="1"/>
  <c r="P52" i="114"/>
  <c r="J52" i="106" s="1"/>
  <c r="O53" i="114"/>
  <c r="I53" i="106" s="1"/>
  <c r="P53" i="114"/>
  <c r="J53" i="106" s="1"/>
  <c r="O54" i="114"/>
  <c r="P54" i="114"/>
  <c r="J54" i="106" s="1"/>
  <c r="O55" i="114"/>
  <c r="P55" i="114"/>
  <c r="J55" i="106" s="1"/>
  <c r="P6" i="114"/>
  <c r="P18" i="114" s="1"/>
  <c r="O6" i="114"/>
  <c r="I6" i="106" s="1"/>
  <c r="D56" i="113"/>
  <c r="E56" i="113"/>
  <c r="T56" i="77" s="1"/>
  <c r="F56" i="113"/>
  <c r="U56" i="77" s="1"/>
  <c r="G56" i="113"/>
  <c r="H56" i="113"/>
  <c r="I56" i="113"/>
  <c r="J56" i="113"/>
  <c r="C56" i="113"/>
  <c r="D47" i="113"/>
  <c r="E47" i="113"/>
  <c r="T47" i="77" s="1"/>
  <c r="F47" i="113"/>
  <c r="U47" i="77" s="1"/>
  <c r="G47" i="113"/>
  <c r="H47" i="113"/>
  <c r="I47" i="113"/>
  <c r="J47" i="113"/>
  <c r="C47" i="113"/>
  <c r="D45" i="113"/>
  <c r="E45" i="113"/>
  <c r="T45" i="77" s="1"/>
  <c r="F45" i="113"/>
  <c r="U45" i="77" s="1"/>
  <c r="G45" i="113"/>
  <c r="H45" i="113"/>
  <c r="I45" i="113"/>
  <c r="J45" i="113"/>
  <c r="C45" i="113"/>
  <c r="D41" i="113"/>
  <c r="E41" i="113"/>
  <c r="T41" i="77" s="1"/>
  <c r="F41" i="113"/>
  <c r="U41" i="77" s="1"/>
  <c r="G41" i="113"/>
  <c r="H41" i="113"/>
  <c r="I41" i="113"/>
  <c r="J41" i="113"/>
  <c r="C41" i="113"/>
  <c r="D18" i="113"/>
  <c r="D42" i="113" s="1"/>
  <c r="E18" i="113"/>
  <c r="F18" i="113"/>
  <c r="U18" i="77" s="1"/>
  <c r="G18" i="113"/>
  <c r="H18" i="113"/>
  <c r="H42" i="113" s="1"/>
  <c r="I18" i="113"/>
  <c r="J18" i="113"/>
  <c r="J42" i="113" s="1"/>
  <c r="C18" i="113"/>
  <c r="C42" i="113" s="1"/>
  <c r="C57" i="113" s="1"/>
  <c r="D56" i="42"/>
  <c r="E56" i="42"/>
  <c r="C56" i="42"/>
  <c r="D47" i="42"/>
  <c r="E47" i="42"/>
  <c r="C47" i="42"/>
  <c r="D45" i="42"/>
  <c r="E45" i="42"/>
  <c r="C45" i="42"/>
  <c r="D41" i="42"/>
  <c r="C41" i="42"/>
  <c r="D18" i="42"/>
  <c r="C18" i="42"/>
  <c r="E7" i="42"/>
  <c r="F7" i="42"/>
  <c r="E8" i="42"/>
  <c r="F8" i="42"/>
  <c r="E9" i="42"/>
  <c r="F9" i="42"/>
  <c r="E10" i="42"/>
  <c r="F10" i="42"/>
  <c r="E11" i="42"/>
  <c r="F11" i="42"/>
  <c r="E12" i="42"/>
  <c r="F12" i="42"/>
  <c r="E13" i="42"/>
  <c r="F13" i="42"/>
  <c r="E14" i="42"/>
  <c r="F14" i="42"/>
  <c r="E15" i="42"/>
  <c r="F15" i="42"/>
  <c r="E16" i="42"/>
  <c r="F16" i="42"/>
  <c r="E17" i="42"/>
  <c r="F17" i="42"/>
  <c r="E19" i="42"/>
  <c r="E41" i="42" s="1"/>
  <c r="E42" i="42" s="1"/>
  <c r="F19" i="42"/>
  <c r="F41" i="42" s="1"/>
  <c r="F42" i="42" s="1"/>
  <c r="E20" i="42"/>
  <c r="F20" i="42"/>
  <c r="E21" i="42"/>
  <c r="F21" i="42"/>
  <c r="E22" i="42"/>
  <c r="F22" i="42"/>
  <c r="E23" i="42"/>
  <c r="F23" i="42"/>
  <c r="E24" i="42"/>
  <c r="F24" i="42"/>
  <c r="E25" i="42"/>
  <c r="F25" i="42"/>
  <c r="E26" i="42"/>
  <c r="F26" i="42"/>
  <c r="E27" i="42"/>
  <c r="F27" i="42"/>
  <c r="E28" i="42"/>
  <c r="F28" i="42"/>
  <c r="E29" i="42"/>
  <c r="F29" i="42"/>
  <c r="E30" i="42"/>
  <c r="F30" i="42"/>
  <c r="E31" i="42"/>
  <c r="F31" i="42"/>
  <c r="E32" i="42"/>
  <c r="F32" i="42"/>
  <c r="E33" i="42"/>
  <c r="F33" i="42"/>
  <c r="E34" i="42"/>
  <c r="F34" i="42"/>
  <c r="E35" i="42"/>
  <c r="F35" i="42"/>
  <c r="E36" i="42"/>
  <c r="F36" i="42"/>
  <c r="E37" i="42"/>
  <c r="F37" i="42"/>
  <c r="E38" i="42"/>
  <c r="F38" i="42"/>
  <c r="E39" i="42"/>
  <c r="F39" i="42"/>
  <c r="E40" i="42"/>
  <c r="F40" i="42"/>
  <c r="E43" i="42"/>
  <c r="F43" i="42"/>
  <c r="F45" i="42" s="1"/>
  <c r="E44" i="42"/>
  <c r="F44" i="42"/>
  <c r="E46" i="42"/>
  <c r="F46" i="42"/>
  <c r="F47" i="42" s="1"/>
  <c r="E48" i="42"/>
  <c r="F48" i="42"/>
  <c r="F56" i="42" s="1"/>
  <c r="E49" i="42"/>
  <c r="F49" i="42"/>
  <c r="E50" i="42"/>
  <c r="F50" i="42"/>
  <c r="E51" i="42"/>
  <c r="F51" i="42"/>
  <c r="E52" i="42"/>
  <c r="F52" i="42"/>
  <c r="E53" i="42"/>
  <c r="F53" i="42"/>
  <c r="E54" i="42"/>
  <c r="F54" i="42"/>
  <c r="E55" i="42"/>
  <c r="F55" i="42"/>
  <c r="F6" i="42"/>
  <c r="F18" i="42" s="1"/>
  <c r="E6" i="42"/>
  <c r="E18" i="42" s="1"/>
  <c r="F57" i="42" l="1"/>
  <c r="F57" i="116"/>
  <c r="E57" i="42"/>
  <c r="P42" i="114"/>
  <c r="P57" i="114" s="1"/>
  <c r="L57" i="114"/>
  <c r="H57" i="114"/>
  <c r="D57" i="114"/>
  <c r="E57" i="116"/>
  <c r="R38" i="106"/>
  <c r="S38" i="106" s="1"/>
  <c r="L57" i="115"/>
  <c r="H57" i="115"/>
  <c r="D57" i="116"/>
  <c r="M57" i="114"/>
  <c r="I57" i="114"/>
  <c r="C57" i="116"/>
  <c r="C57" i="117"/>
  <c r="O41" i="114"/>
  <c r="O45" i="114"/>
  <c r="O56" i="115"/>
  <c r="O41" i="115"/>
  <c r="E45" i="106"/>
  <c r="J6" i="106"/>
  <c r="J18" i="106" s="1"/>
  <c r="J46" i="106"/>
  <c r="J47" i="106" s="1"/>
  <c r="J43" i="106"/>
  <c r="J19" i="106"/>
  <c r="O18" i="114"/>
  <c r="E57" i="114"/>
  <c r="C42" i="115"/>
  <c r="E42" i="118"/>
  <c r="R55" i="106"/>
  <c r="S55" i="106" s="1"/>
  <c r="R54" i="106"/>
  <c r="S54" i="106" s="1"/>
  <c r="R52" i="106"/>
  <c r="S52" i="106" s="1"/>
  <c r="R50" i="106"/>
  <c r="S50" i="106" s="1"/>
  <c r="R36" i="106"/>
  <c r="S36" i="106" s="1"/>
  <c r="R34" i="106"/>
  <c r="S34" i="106" s="1"/>
  <c r="R32" i="106"/>
  <c r="S32" i="106" s="1"/>
  <c r="R30" i="106"/>
  <c r="S30" i="106" s="1"/>
  <c r="R28" i="106"/>
  <c r="S28" i="106" s="1"/>
  <c r="R26" i="106"/>
  <c r="S26" i="106" s="1"/>
  <c r="R22" i="106"/>
  <c r="S22" i="106" s="1"/>
  <c r="R17" i="106"/>
  <c r="S17" i="106" s="1"/>
  <c r="R15" i="106"/>
  <c r="S15" i="106" s="1"/>
  <c r="R13" i="106"/>
  <c r="S13" i="106" s="1"/>
  <c r="R11" i="106"/>
  <c r="S11" i="106" s="1"/>
  <c r="R9" i="106"/>
  <c r="S9" i="106" s="1"/>
  <c r="R7" i="106"/>
  <c r="S7" i="106" s="1"/>
  <c r="M42" i="106"/>
  <c r="M57" i="106" s="1"/>
  <c r="J48" i="106"/>
  <c r="O56" i="114"/>
  <c r="P56" i="115"/>
  <c r="P41" i="115"/>
  <c r="P42" i="115" s="1"/>
  <c r="P57" i="115" s="1"/>
  <c r="P18" i="115"/>
  <c r="G42" i="118"/>
  <c r="E42" i="113"/>
  <c r="T42" i="77" s="1"/>
  <c r="T18" i="77"/>
  <c r="J57" i="113"/>
  <c r="K41" i="111"/>
  <c r="K42" i="111" s="1"/>
  <c r="K56" i="111"/>
  <c r="L18" i="111"/>
  <c r="L41" i="111"/>
  <c r="L56" i="111"/>
  <c r="L45" i="111"/>
  <c r="N42" i="111"/>
  <c r="N57" i="111" s="1"/>
  <c r="M57" i="111"/>
  <c r="F57" i="111"/>
  <c r="E57" i="111"/>
  <c r="J57" i="111"/>
  <c r="H57" i="111"/>
  <c r="K57" i="111"/>
  <c r="I57" i="111"/>
  <c r="G57" i="111"/>
  <c r="E56" i="106"/>
  <c r="E18" i="106"/>
  <c r="O42" i="106"/>
  <c r="K42" i="106"/>
  <c r="R53" i="106"/>
  <c r="S53" i="106" s="1"/>
  <c r="R51" i="106"/>
  <c r="S51" i="106" s="1"/>
  <c r="R49" i="106"/>
  <c r="S49" i="106" s="1"/>
  <c r="R43" i="106"/>
  <c r="S43" i="106" s="1"/>
  <c r="R39" i="106"/>
  <c r="S39" i="106" s="1"/>
  <c r="R37" i="106"/>
  <c r="S37" i="106" s="1"/>
  <c r="R35" i="106"/>
  <c r="S35" i="106" s="1"/>
  <c r="R33" i="106"/>
  <c r="S33" i="106" s="1"/>
  <c r="R31" i="106"/>
  <c r="S31" i="106" s="1"/>
  <c r="R29" i="106"/>
  <c r="S29" i="106" s="1"/>
  <c r="R27" i="106"/>
  <c r="S27" i="106" s="1"/>
  <c r="R25" i="106"/>
  <c r="S25" i="106" s="1"/>
  <c r="R23" i="106"/>
  <c r="S23" i="106" s="1"/>
  <c r="R21" i="106"/>
  <c r="S21" i="106" s="1"/>
  <c r="R16" i="106"/>
  <c r="S16" i="106" s="1"/>
  <c r="R14" i="106"/>
  <c r="S14" i="106" s="1"/>
  <c r="R12" i="106"/>
  <c r="S12" i="106" s="1"/>
  <c r="R10" i="106"/>
  <c r="S10" i="106" s="1"/>
  <c r="R8" i="106"/>
  <c r="S8" i="106" s="1"/>
  <c r="I41" i="106"/>
  <c r="I42" i="106" s="1"/>
  <c r="N42" i="106"/>
  <c r="D42" i="106"/>
  <c r="D57" i="106" s="1"/>
  <c r="R40" i="106"/>
  <c r="S40" i="106" s="1"/>
  <c r="R24" i="106"/>
  <c r="S24" i="106" s="1"/>
  <c r="I45" i="106"/>
  <c r="I18" i="106"/>
  <c r="P42" i="106"/>
  <c r="P57" i="106" s="1"/>
  <c r="L42" i="106"/>
  <c r="L57" i="106" s="1"/>
  <c r="I54" i="106"/>
  <c r="I56" i="106" s="1"/>
  <c r="O57" i="106"/>
  <c r="K57" i="106"/>
  <c r="N57" i="106"/>
  <c r="G18" i="106"/>
  <c r="Q55" i="106"/>
  <c r="Q53" i="106"/>
  <c r="Q51" i="106"/>
  <c r="Q49" i="106"/>
  <c r="Q46" i="106"/>
  <c r="Q47" i="106" s="1"/>
  <c r="Q43" i="106"/>
  <c r="Q39" i="106"/>
  <c r="Q37" i="106"/>
  <c r="Q35" i="106"/>
  <c r="Q33" i="106"/>
  <c r="Q31" i="106"/>
  <c r="Q29" i="106"/>
  <c r="Q27" i="106"/>
  <c r="Q25" i="106"/>
  <c r="Q23" i="106"/>
  <c r="Q21" i="106"/>
  <c r="Q19" i="106"/>
  <c r="Q16" i="106"/>
  <c r="Q14" i="106"/>
  <c r="Q12" i="106"/>
  <c r="Q10" i="106"/>
  <c r="Q8" i="106"/>
  <c r="Q52" i="106"/>
  <c r="Q50" i="106"/>
  <c r="G56" i="106"/>
  <c r="G45" i="106"/>
  <c r="Q40" i="106"/>
  <c r="Q38" i="106"/>
  <c r="Q36" i="106"/>
  <c r="Q34" i="106"/>
  <c r="Q32" i="106"/>
  <c r="Q30" i="106"/>
  <c r="Q28" i="106"/>
  <c r="Q26" i="106"/>
  <c r="Q24" i="106"/>
  <c r="Q22" i="106"/>
  <c r="G41" i="106"/>
  <c r="Q17" i="106"/>
  <c r="Q15" i="106"/>
  <c r="Q13" i="106"/>
  <c r="Q11" i="106"/>
  <c r="Q9" i="106"/>
  <c r="Q7" i="106"/>
  <c r="F56" i="106"/>
  <c r="F45" i="106"/>
  <c r="J56" i="106"/>
  <c r="J45" i="106"/>
  <c r="C42" i="106"/>
  <c r="C57" i="106" s="1"/>
  <c r="E41" i="106"/>
  <c r="E42" i="106" s="1"/>
  <c r="F47" i="106"/>
  <c r="F41" i="106"/>
  <c r="F42" i="106" s="1"/>
  <c r="R19" i="106"/>
  <c r="H56" i="106"/>
  <c r="H41" i="106"/>
  <c r="R20" i="106"/>
  <c r="S20" i="106" s="1"/>
  <c r="J41" i="106"/>
  <c r="J42" i="106" s="1"/>
  <c r="Q6" i="106"/>
  <c r="R48" i="106"/>
  <c r="H18" i="106"/>
  <c r="R44" i="106"/>
  <c r="R6" i="106"/>
  <c r="Q48" i="106"/>
  <c r="Q44" i="106"/>
  <c r="Q20" i="106"/>
  <c r="N57" i="115"/>
  <c r="J57" i="115"/>
  <c r="D42" i="115"/>
  <c r="D57" i="115" s="1"/>
  <c r="O42" i="115"/>
  <c r="O57" i="115" s="1"/>
  <c r="E42" i="115"/>
  <c r="F57" i="115"/>
  <c r="C57" i="115"/>
  <c r="F57" i="117"/>
  <c r="D57" i="117"/>
  <c r="E57" i="118"/>
  <c r="G57" i="118"/>
  <c r="C42" i="118"/>
  <c r="C57" i="118" s="1"/>
  <c r="D57" i="118"/>
  <c r="F42" i="118"/>
  <c r="F57" i="118" s="1"/>
  <c r="I42" i="113"/>
  <c r="H57" i="113"/>
  <c r="G42" i="113"/>
  <c r="E57" i="113"/>
  <c r="T57" i="77" s="1"/>
  <c r="D57" i="113"/>
  <c r="F42" i="113"/>
  <c r="U42" i="77" s="1"/>
  <c r="D42" i="42"/>
  <c r="C42" i="42"/>
  <c r="H9" i="85"/>
  <c r="J9" i="85" s="1"/>
  <c r="G9" i="85"/>
  <c r="AA7" i="77"/>
  <c r="AA8" i="77"/>
  <c r="AA9" i="77"/>
  <c r="AA10" i="77"/>
  <c r="AA11" i="77"/>
  <c r="AA12" i="77"/>
  <c r="AA13" i="77"/>
  <c r="AA14" i="77"/>
  <c r="AA15" i="77"/>
  <c r="AA16" i="77"/>
  <c r="AA17" i="77"/>
  <c r="AA19" i="77"/>
  <c r="AA20" i="77"/>
  <c r="AA26" i="77"/>
  <c r="AA27" i="77"/>
  <c r="AA33" i="77"/>
  <c r="AA35" i="77"/>
  <c r="AA37" i="77"/>
  <c r="AA38" i="77"/>
  <c r="AA43" i="77"/>
  <c r="AA44" i="77"/>
  <c r="AA50" i="77"/>
  <c r="AA52" i="77"/>
  <c r="AA53" i="77"/>
  <c r="AA54" i="77"/>
  <c r="AA55" i="77"/>
  <c r="V26" i="77"/>
  <c r="AA6" i="77"/>
  <c r="V7" i="77"/>
  <c r="V8" i="77"/>
  <c r="V9" i="77"/>
  <c r="V10" i="77"/>
  <c r="V11" i="77"/>
  <c r="V12" i="77"/>
  <c r="V13" i="77"/>
  <c r="V14" i="77"/>
  <c r="V15" i="77"/>
  <c r="V16" i="77"/>
  <c r="V17" i="77"/>
  <c r="V19" i="77"/>
  <c r="V28" i="77"/>
  <c r="V43" i="77"/>
  <c r="V44" i="77"/>
  <c r="V46" i="77"/>
  <c r="V6" i="77"/>
  <c r="Q7" i="77"/>
  <c r="Q8" i="77"/>
  <c r="Q10" i="77"/>
  <c r="Q11" i="77"/>
  <c r="Q12" i="77"/>
  <c r="Q14" i="77"/>
  <c r="Q15" i="77"/>
  <c r="Q17" i="77"/>
  <c r="Q43" i="77"/>
  <c r="Q44" i="77"/>
  <c r="Q46" i="77"/>
  <c r="Q6" i="77"/>
  <c r="L7" i="77"/>
  <c r="L8" i="77"/>
  <c r="L9" i="77"/>
  <c r="L10" i="77"/>
  <c r="L11" i="77"/>
  <c r="L12" i="77"/>
  <c r="L13" i="77"/>
  <c r="L14" i="77"/>
  <c r="L15" i="77"/>
  <c r="L16" i="77"/>
  <c r="L17" i="77"/>
  <c r="L19" i="77"/>
  <c r="L29" i="77"/>
  <c r="L43" i="77"/>
  <c r="L44" i="77"/>
  <c r="L6" i="77"/>
  <c r="G7" i="77"/>
  <c r="G8" i="77"/>
  <c r="G9" i="77"/>
  <c r="G10" i="77"/>
  <c r="G11" i="77"/>
  <c r="G12" i="77"/>
  <c r="G13" i="77"/>
  <c r="G14" i="77"/>
  <c r="G15" i="77"/>
  <c r="G16" i="77"/>
  <c r="G17" i="77"/>
  <c r="G32" i="77"/>
  <c r="G43" i="77"/>
  <c r="G44" i="77"/>
  <c r="G6" i="77"/>
  <c r="F56" i="77"/>
  <c r="H56" i="77"/>
  <c r="I56" i="77"/>
  <c r="I57" i="77" s="1"/>
  <c r="J56" i="77"/>
  <c r="J57" i="77" s="1"/>
  <c r="K56" i="77"/>
  <c r="M56" i="77"/>
  <c r="N56" i="77"/>
  <c r="N57" i="77" s="1"/>
  <c r="O56" i="77"/>
  <c r="O57" i="77" s="1"/>
  <c r="P56" i="77"/>
  <c r="R56" i="77"/>
  <c r="S56" i="77"/>
  <c r="W56" i="77"/>
  <c r="W57" i="77" s="1"/>
  <c r="X56" i="77"/>
  <c r="Y56" i="77"/>
  <c r="Z56" i="77"/>
  <c r="Z57" i="77" s="1"/>
  <c r="E56" i="77"/>
  <c r="F47" i="77"/>
  <c r="H47" i="77"/>
  <c r="I47" i="77"/>
  <c r="J47" i="77"/>
  <c r="K47" i="77"/>
  <c r="M47" i="77"/>
  <c r="N47" i="77"/>
  <c r="Q47" i="77" s="1"/>
  <c r="O47" i="77"/>
  <c r="P47" i="77"/>
  <c r="R47" i="77"/>
  <c r="S47" i="77"/>
  <c r="V47" i="77" s="1"/>
  <c r="W47" i="77"/>
  <c r="X47" i="77"/>
  <c r="Y47" i="77"/>
  <c r="Z47" i="77"/>
  <c r="E47" i="77"/>
  <c r="F45" i="77"/>
  <c r="G45" i="77" s="1"/>
  <c r="H45" i="77"/>
  <c r="I45" i="77"/>
  <c r="L45" i="77" s="1"/>
  <c r="J45" i="77"/>
  <c r="K45" i="77"/>
  <c r="M45" i="77"/>
  <c r="N45" i="77"/>
  <c r="Q45" i="77" s="1"/>
  <c r="O45" i="77"/>
  <c r="P45" i="77"/>
  <c r="R45" i="77"/>
  <c r="S45" i="77"/>
  <c r="V45" i="77" s="1"/>
  <c r="W45" i="77"/>
  <c r="X45" i="77"/>
  <c r="AA45" i="77" s="1"/>
  <c r="Y45" i="77"/>
  <c r="Z45" i="77"/>
  <c r="E45" i="77"/>
  <c r="J42" i="77"/>
  <c r="O42" i="77"/>
  <c r="W42" i="77"/>
  <c r="F41" i="77"/>
  <c r="H41" i="77"/>
  <c r="H42" i="77" s="1"/>
  <c r="H57" i="77" s="1"/>
  <c r="I41" i="77"/>
  <c r="I42" i="77" s="1"/>
  <c r="J41" i="77"/>
  <c r="K41" i="77"/>
  <c r="K42" i="77" s="1"/>
  <c r="M41" i="77"/>
  <c r="M42" i="77" s="1"/>
  <c r="M57" i="77" s="1"/>
  <c r="N41" i="77"/>
  <c r="N42" i="77" s="1"/>
  <c r="O41" i="77"/>
  <c r="P41" i="77"/>
  <c r="P42" i="77" s="1"/>
  <c r="R41" i="77"/>
  <c r="R42" i="77" s="1"/>
  <c r="R57" i="77" s="1"/>
  <c r="S41" i="77"/>
  <c r="V41" i="77" s="1"/>
  <c r="W41" i="77"/>
  <c r="X41" i="77"/>
  <c r="X42" i="77" s="1"/>
  <c r="AA42" i="77" s="1"/>
  <c r="Y41" i="77"/>
  <c r="Y42" i="77" s="1"/>
  <c r="Y57" i="77" s="1"/>
  <c r="Z41" i="77"/>
  <c r="Z42" i="77" s="1"/>
  <c r="C23" i="78"/>
  <c r="D23" i="78"/>
  <c r="Q39" i="71"/>
  <c r="H49" i="85"/>
  <c r="D56" i="85"/>
  <c r="E56" i="85"/>
  <c r="F56" i="85"/>
  <c r="G56" i="85"/>
  <c r="H56" i="85"/>
  <c r="C56" i="85"/>
  <c r="D47" i="85"/>
  <c r="E47" i="85"/>
  <c r="F47" i="85"/>
  <c r="J47" i="85" s="1"/>
  <c r="G47" i="85"/>
  <c r="H47" i="85"/>
  <c r="C47" i="85"/>
  <c r="D45" i="85"/>
  <c r="E45" i="85"/>
  <c r="F45" i="85"/>
  <c r="G45" i="85"/>
  <c r="H45" i="85"/>
  <c r="C45" i="85"/>
  <c r="D41" i="85"/>
  <c r="E41" i="85"/>
  <c r="F41" i="85"/>
  <c r="C41" i="85"/>
  <c r="D18" i="85"/>
  <c r="E18" i="85"/>
  <c r="F18" i="85"/>
  <c r="F42" i="85" s="1"/>
  <c r="C18" i="85"/>
  <c r="H27" i="85"/>
  <c r="J27" i="85" s="1"/>
  <c r="H19" i="85"/>
  <c r="J19" i="85" s="1"/>
  <c r="G19" i="85"/>
  <c r="G41" i="85" s="1"/>
  <c r="H16" i="85"/>
  <c r="G16" i="85"/>
  <c r="I16" i="85" s="1"/>
  <c r="H7" i="85"/>
  <c r="H18" i="85" s="1"/>
  <c r="G7" i="85"/>
  <c r="I7" i="85" s="1"/>
  <c r="D41" i="77"/>
  <c r="G41" i="77" s="1"/>
  <c r="E41" i="77"/>
  <c r="C41" i="77"/>
  <c r="D18" i="77"/>
  <c r="E18" i="77"/>
  <c r="F18" i="77"/>
  <c r="H18" i="77"/>
  <c r="I18" i="77"/>
  <c r="L18" i="77" s="1"/>
  <c r="J18" i="77"/>
  <c r="K18" i="77"/>
  <c r="M18" i="77"/>
  <c r="N18" i="77"/>
  <c r="Q18" i="77" s="1"/>
  <c r="O18" i="77"/>
  <c r="P18" i="77"/>
  <c r="R18" i="77"/>
  <c r="S18" i="77"/>
  <c r="V18" i="77" s="1"/>
  <c r="W18" i="77"/>
  <c r="X18" i="77"/>
  <c r="AA18" i="77" s="1"/>
  <c r="Y18" i="77"/>
  <c r="Z18" i="77"/>
  <c r="C18" i="77"/>
  <c r="I8" i="85"/>
  <c r="J8" i="85"/>
  <c r="I9" i="85"/>
  <c r="I10" i="85"/>
  <c r="J10" i="85"/>
  <c r="I11" i="85"/>
  <c r="J11" i="85"/>
  <c r="I12" i="85"/>
  <c r="J12" i="85"/>
  <c r="I13" i="85"/>
  <c r="J13" i="85"/>
  <c r="I14" i="85"/>
  <c r="J14" i="85"/>
  <c r="I15" i="85"/>
  <c r="J15" i="85"/>
  <c r="J16" i="85"/>
  <c r="I17" i="85"/>
  <c r="J17" i="85"/>
  <c r="I19" i="85"/>
  <c r="I20" i="85"/>
  <c r="J20" i="85"/>
  <c r="I21" i="85"/>
  <c r="J21" i="85"/>
  <c r="I22" i="85"/>
  <c r="J22" i="85"/>
  <c r="I23" i="85"/>
  <c r="J23" i="85"/>
  <c r="I24" i="85"/>
  <c r="J24" i="85"/>
  <c r="I25" i="85"/>
  <c r="J25" i="85"/>
  <c r="I26" i="85"/>
  <c r="J26" i="85"/>
  <c r="I27" i="85"/>
  <c r="I28" i="85"/>
  <c r="J28" i="85"/>
  <c r="I29" i="85"/>
  <c r="J29" i="85"/>
  <c r="I30" i="85"/>
  <c r="J30" i="85"/>
  <c r="I31" i="85"/>
  <c r="J31" i="85"/>
  <c r="I32" i="85"/>
  <c r="J32" i="85"/>
  <c r="I33" i="85"/>
  <c r="J33" i="85"/>
  <c r="I34" i="85"/>
  <c r="J34" i="85"/>
  <c r="I35" i="85"/>
  <c r="J35" i="85"/>
  <c r="I36" i="85"/>
  <c r="J36" i="85"/>
  <c r="I37" i="85"/>
  <c r="J37" i="85"/>
  <c r="I38" i="85"/>
  <c r="J38" i="85"/>
  <c r="I39" i="85"/>
  <c r="J39" i="85"/>
  <c r="I40" i="85"/>
  <c r="J40" i="85"/>
  <c r="I43" i="85"/>
  <c r="J43" i="85"/>
  <c r="I44" i="85"/>
  <c r="J44" i="85"/>
  <c r="I46" i="85"/>
  <c r="J46" i="85"/>
  <c r="I47" i="85"/>
  <c r="I48" i="85"/>
  <c r="J48" i="85"/>
  <c r="I49" i="85"/>
  <c r="J49" i="85"/>
  <c r="I50" i="85"/>
  <c r="J50" i="85"/>
  <c r="I51" i="85"/>
  <c r="J51" i="85"/>
  <c r="I52" i="85"/>
  <c r="J52" i="85"/>
  <c r="I53" i="85"/>
  <c r="J53" i="85"/>
  <c r="I54" i="85"/>
  <c r="J54" i="85"/>
  <c r="I55" i="85"/>
  <c r="J55" i="85"/>
  <c r="J6" i="85"/>
  <c r="I6" i="85"/>
  <c r="K7" i="78"/>
  <c r="K8" i="78"/>
  <c r="K9" i="78"/>
  <c r="K10" i="78"/>
  <c r="K11" i="78"/>
  <c r="K12" i="78"/>
  <c r="K13" i="78"/>
  <c r="K14" i="78"/>
  <c r="K15" i="78"/>
  <c r="K16" i="78"/>
  <c r="K17" i="78"/>
  <c r="K19" i="78"/>
  <c r="K22" i="78"/>
  <c r="K23" i="78"/>
  <c r="K25" i="78"/>
  <c r="K26" i="78"/>
  <c r="K27" i="78"/>
  <c r="K28" i="78"/>
  <c r="K31" i="78"/>
  <c r="K32" i="78"/>
  <c r="K33" i="78"/>
  <c r="K35" i="78"/>
  <c r="K36" i="78"/>
  <c r="K37" i="78"/>
  <c r="K43" i="78"/>
  <c r="K44" i="78"/>
  <c r="K46" i="78"/>
  <c r="K50" i="78"/>
  <c r="K6" i="78"/>
  <c r="H7" i="78"/>
  <c r="H8" i="78"/>
  <c r="H9" i="78"/>
  <c r="H10" i="78"/>
  <c r="H11" i="78"/>
  <c r="H12" i="78"/>
  <c r="H13" i="78"/>
  <c r="H14" i="78"/>
  <c r="H15" i="78"/>
  <c r="H16" i="78"/>
  <c r="H17" i="78"/>
  <c r="H19" i="78"/>
  <c r="H20" i="78"/>
  <c r="H21" i="78"/>
  <c r="H22" i="78"/>
  <c r="H23" i="78"/>
  <c r="H24" i="78"/>
  <c r="H25" i="78"/>
  <c r="H26" i="78"/>
  <c r="H27" i="78"/>
  <c r="H28" i="78"/>
  <c r="H29" i="78"/>
  <c r="H30" i="78"/>
  <c r="H31" i="78"/>
  <c r="H32" i="78"/>
  <c r="H33" i="78"/>
  <c r="H34" i="78"/>
  <c r="H35" i="78"/>
  <c r="H36" i="78"/>
  <c r="H37" i="78"/>
  <c r="H38" i="78"/>
  <c r="H39" i="78"/>
  <c r="H40" i="78"/>
  <c r="H43" i="78"/>
  <c r="H44" i="78"/>
  <c r="H46" i="78"/>
  <c r="H48" i="78"/>
  <c r="H49" i="78"/>
  <c r="H50" i="78"/>
  <c r="H52" i="78"/>
  <c r="H53" i="78"/>
  <c r="H54" i="78"/>
  <c r="H55" i="78"/>
  <c r="H6" i="78"/>
  <c r="D56" i="78"/>
  <c r="F56" i="78"/>
  <c r="G56" i="78"/>
  <c r="I56" i="78"/>
  <c r="J56" i="78"/>
  <c r="L56" i="78"/>
  <c r="M56" i="78"/>
  <c r="O56" i="78"/>
  <c r="P56" i="78"/>
  <c r="C56" i="78"/>
  <c r="D47" i="78"/>
  <c r="F47" i="78"/>
  <c r="G47" i="78"/>
  <c r="I47" i="78"/>
  <c r="J47" i="78"/>
  <c r="L47" i="78"/>
  <c r="M47" i="78"/>
  <c r="O47" i="78"/>
  <c r="P47" i="78"/>
  <c r="C47" i="78"/>
  <c r="D45" i="78"/>
  <c r="F45" i="78"/>
  <c r="G45" i="78"/>
  <c r="I45" i="78"/>
  <c r="J45" i="78"/>
  <c r="L45" i="78"/>
  <c r="M45" i="78"/>
  <c r="O45" i="78"/>
  <c r="P45" i="78"/>
  <c r="C45" i="78"/>
  <c r="I42" i="78"/>
  <c r="I57" i="78" s="1"/>
  <c r="D41" i="78"/>
  <c r="F41" i="78"/>
  <c r="F42" i="78" s="1"/>
  <c r="G41" i="78"/>
  <c r="I41" i="78"/>
  <c r="J41" i="78"/>
  <c r="L41" i="78"/>
  <c r="L42" i="78" s="1"/>
  <c r="M41" i="78"/>
  <c r="O41" i="78"/>
  <c r="P41" i="78"/>
  <c r="C41" i="78"/>
  <c r="C42" i="78" s="1"/>
  <c r="D18" i="78"/>
  <c r="F18" i="78"/>
  <c r="G18" i="78"/>
  <c r="I18" i="78"/>
  <c r="J18" i="78"/>
  <c r="J42" i="78" s="1"/>
  <c r="L18" i="78"/>
  <c r="M18" i="78"/>
  <c r="O18" i="78"/>
  <c r="P18" i="78"/>
  <c r="C18" i="78"/>
  <c r="G18" i="85" l="1"/>
  <c r="D42" i="85"/>
  <c r="D57" i="85" s="1"/>
  <c r="J57" i="78"/>
  <c r="S57" i="77"/>
  <c r="L57" i="77"/>
  <c r="Q42" i="77"/>
  <c r="L42" i="77"/>
  <c r="P42" i="78"/>
  <c r="X57" i="77"/>
  <c r="AA57" i="77" s="1"/>
  <c r="P57" i="77"/>
  <c r="Q57" i="77" s="1"/>
  <c r="K57" i="77"/>
  <c r="J45" i="85"/>
  <c r="L41" i="77"/>
  <c r="AA56" i="77"/>
  <c r="S42" i="77"/>
  <c r="F42" i="77"/>
  <c r="H41" i="85"/>
  <c r="J41" i="85" s="1"/>
  <c r="J7" i="85"/>
  <c r="E42" i="77"/>
  <c r="E57" i="77" s="1"/>
  <c r="C42" i="85"/>
  <c r="C57" i="85" s="1"/>
  <c r="E42" i="85"/>
  <c r="E57" i="85" s="1"/>
  <c r="AA41" i="77"/>
  <c r="I57" i="106"/>
  <c r="O42" i="114"/>
  <c r="O57" i="114" s="1"/>
  <c r="F57" i="85"/>
  <c r="O42" i="78"/>
  <c r="I45" i="85"/>
  <c r="V42" i="77"/>
  <c r="R46" i="106"/>
  <c r="E57" i="106"/>
  <c r="L42" i="111"/>
  <c r="L57" i="111" s="1"/>
  <c r="Q45" i="106"/>
  <c r="J57" i="106"/>
  <c r="Q54" i="106"/>
  <c r="Q56" i="106" s="1"/>
  <c r="G42" i="106"/>
  <c r="G57" i="106" s="1"/>
  <c r="Q41" i="106"/>
  <c r="F57" i="106"/>
  <c r="H42" i="106"/>
  <c r="H57" i="106" s="1"/>
  <c r="Q18" i="106"/>
  <c r="S44" i="106"/>
  <c r="R45" i="106"/>
  <c r="S48" i="106"/>
  <c r="R56" i="106"/>
  <c r="R47" i="106"/>
  <c r="S46" i="106"/>
  <c r="R18" i="106"/>
  <c r="S6" i="106"/>
  <c r="R41" i="106"/>
  <c r="S19" i="106"/>
  <c r="E57" i="115"/>
  <c r="I57" i="113"/>
  <c r="G57" i="113"/>
  <c r="F57" i="113"/>
  <c r="U57" i="77" s="1"/>
  <c r="V57" i="77" s="1"/>
  <c r="D57" i="42"/>
  <c r="C57" i="42"/>
  <c r="J18" i="85"/>
  <c r="I18" i="85"/>
  <c r="G18" i="77"/>
  <c r="F57" i="77"/>
  <c r="G57" i="77" s="1"/>
  <c r="G42" i="77"/>
  <c r="G42" i="85"/>
  <c r="G57" i="85" s="1"/>
  <c r="I57" i="85" s="1"/>
  <c r="P57" i="78"/>
  <c r="O57" i="78"/>
  <c r="L57" i="78"/>
  <c r="G42" i="78"/>
  <c r="G57" i="78" s="1"/>
  <c r="F57" i="78"/>
  <c r="D42" i="78"/>
  <c r="C57" i="78"/>
  <c r="I41" i="85"/>
  <c r="J56" i="85"/>
  <c r="I56" i="85"/>
  <c r="M42" i="78"/>
  <c r="H42" i="85" l="1"/>
  <c r="H57" i="85" s="1"/>
  <c r="J57" i="85" s="1"/>
  <c r="Q42" i="106"/>
  <c r="Q57" i="106" s="1"/>
  <c r="R42" i="106"/>
  <c r="D57" i="78"/>
  <c r="M57" i="78"/>
  <c r="R57" i="106" l="1"/>
  <c r="D56" i="15" l="1"/>
  <c r="C56" i="15"/>
  <c r="D47" i="15"/>
  <c r="C47" i="15"/>
  <c r="D45" i="15"/>
  <c r="C45" i="15"/>
  <c r="D41" i="15"/>
  <c r="D42" i="15" s="1"/>
  <c r="C41" i="15"/>
  <c r="C42" i="15" s="1"/>
  <c r="D18" i="15"/>
  <c r="C18" i="15"/>
  <c r="D57" i="15" l="1"/>
  <c r="C57" i="15"/>
  <c r="L7" i="109" l="1"/>
  <c r="L8" i="109"/>
  <c r="L9" i="109"/>
  <c r="L10" i="109"/>
  <c r="L11" i="109"/>
  <c r="L12" i="109"/>
  <c r="L13" i="109"/>
  <c r="L14" i="109"/>
  <c r="L15" i="109"/>
  <c r="L16" i="109"/>
  <c r="L17" i="109"/>
  <c r="L19" i="109"/>
  <c r="L20" i="109"/>
  <c r="L21" i="109"/>
  <c r="L22" i="109"/>
  <c r="L23" i="109"/>
  <c r="L25" i="109"/>
  <c r="L26" i="109"/>
  <c r="L27" i="109"/>
  <c r="L28" i="109"/>
  <c r="L29" i="109"/>
  <c r="L30" i="109"/>
  <c r="L31" i="109"/>
  <c r="L32" i="109"/>
  <c r="L33" i="109"/>
  <c r="L34" i="109"/>
  <c r="L35" i="109"/>
  <c r="L36" i="109"/>
  <c r="L37" i="109"/>
  <c r="L40" i="109"/>
  <c r="L43" i="109"/>
  <c r="L44" i="109"/>
  <c r="L46" i="109"/>
  <c r="L48" i="109"/>
  <c r="L49" i="109"/>
  <c r="L51" i="109"/>
  <c r="L52" i="109"/>
  <c r="L53" i="109"/>
  <c r="L54" i="109"/>
  <c r="L55" i="109"/>
  <c r="L6" i="109"/>
  <c r="G7" i="109"/>
  <c r="G8" i="109"/>
  <c r="G9" i="109"/>
  <c r="G10" i="109"/>
  <c r="G11" i="109"/>
  <c r="G12" i="109"/>
  <c r="G13" i="109"/>
  <c r="G14" i="109"/>
  <c r="G15" i="109"/>
  <c r="G16" i="109"/>
  <c r="G17" i="109"/>
  <c r="G19" i="109"/>
  <c r="G20" i="109"/>
  <c r="G23" i="109"/>
  <c r="G25" i="109"/>
  <c r="G26" i="109"/>
  <c r="G27" i="109"/>
  <c r="G28" i="109"/>
  <c r="G29" i="109"/>
  <c r="G30" i="109"/>
  <c r="G34" i="109"/>
  <c r="G35" i="109"/>
  <c r="G36" i="109"/>
  <c r="G40" i="109"/>
  <c r="G43" i="109"/>
  <c r="G44" i="109"/>
  <c r="G46" i="109"/>
  <c r="G48" i="109"/>
  <c r="G49" i="109"/>
  <c r="G6" i="109"/>
  <c r="D47" i="110"/>
  <c r="E47" i="110"/>
  <c r="F47" i="110"/>
  <c r="G47" i="110"/>
  <c r="H47" i="110"/>
  <c r="I47" i="110"/>
  <c r="J47" i="110"/>
  <c r="K47" i="110"/>
  <c r="L47" i="110"/>
  <c r="M47" i="110"/>
  <c r="N47" i="110"/>
  <c r="C47" i="110"/>
  <c r="D45" i="110"/>
  <c r="E45" i="110"/>
  <c r="F45" i="110"/>
  <c r="G45" i="110"/>
  <c r="H45" i="110"/>
  <c r="I45" i="110"/>
  <c r="J45" i="110"/>
  <c r="K45" i="110"/>
  <c r="L45" i="110"/>
  <c r="M45" i="110"/>
  <c r="N45" i="110"/>
  <c r="C45" i="110"/>
  <c r="D41" i="110"/>
  <c r="E41" i="110"/>
  <c r="F41" i="110"/>
  <c r="G41" i="110"/>
  <c r="H41" i="110"/>
  <c r="I41" i="110"/>
  <c r="J41" i="110"/>
  <c r="K41" i="110"/>
  <c r="L41" i="110"/>
  <c r="M41" i="110"/>
  <c r="N41" i="110"/>
  <c r="C41" i="110"/>
  <c r="D18" i="110"/>
  <c r="E18" i="110"/>
  <c r="F18" i="110"/>
  <c r="F42" i="110" s="1"/>
  <c r="G18" i="110"/>
  <c r="H18" i="110"/>
  <c r="I18" i="110"/>
  <c r="J18" i="110"/>
  <c r="J42" i="110" s="1"/>
  <c r="K18" i="110"/>
  <c r="L18" i="110"/>
  <c r="M18" i="110"/>
  <c r="N18" i="110"/>
  <c r="N42" i="110" s="1"/>
  <c r="C18" i="110"/>
  <c r="D47" i="109"/>
  <c r="G47" i="109" s="1"/>
  <c r="E47" i="109"/>
  <c r="F47" i="109"/>
  <c r="H47" i="109"/>
  <c r="I47" i="109"/>
  <c r="J47" i="109"/>
  <c r="K47" i="109"/>
  <c r="L47" i="109" s="1"/>
  <c r="M47" i="109"/>
  <c r="N47" i="109"/>
  <c r="O47" i="109"/>
  <c r="P47" i="109"/>
  <c r="C47" i="109"/>
  <c r="D45" i="109"/>
  <c r="E45" i="109"/>
  <c r="F45" i="109"/>
  <c r="G45" i="109" s="1"/>
  <c r="H45" i="109"/>
  <c r="I45" i="109"/>
  <c r="L45" i="109" s="1"/>
  <c r="J45" i="109"/>
  <c r="K45" i="109"/>
  <c r="M45" i="109"/>
  <c r="N45" i="109"/>
  <c r="O45" i="109"/>
  <c r="P45" i="109"/>
  <c r="C45" i="109"/>
  <c r="D41" i="109"/>
  <c r="E41" i="109"/>
  <c r="F41" i="109"/>
  <c r="G41" i="109" s="1"/>
  <c r="H41" i="109"/>
  <c r="I41" i="109"/>
  <c r="I42" i="109" s="1"/>
  <c r="J41" i="109"/>
  <c r="K41" i="109"/>
  <c r="M41" i="109"/>
  <c r="N41" i="109"/>
  <c r="O41" i="109"/>
  <c r="P41" i="109"/>
  <c r="K42" i="109"/>
  <c r="C41" i="109"/>
  <c r="C42" i="109" s="1"/>
  <c r="D18" i="109"/>
  <c r="E18" i="109"/>
  <c r="F18" i="109"/>
  <c r="H18" i="109"/>
  <c r="I18" i="109"/>
  <c r="L18" i="109" s="1"/>
  <c r="J18" i="109"/>
  <c r="K18" i="109"/>
  <c r="M18" i="109"/>
  <c r="M42" i="109" s="1"/>
  <c r="N18" i="109"/>
  <c r="N42" i="109" s="1"/>
  <c r="O18" i="109"/>
  <c r="P18" i="109"/>
  <c r="C18" i="109"/>
  <c r="G6" i="71"/>
  <c r="L6" i="71"/>
  <c r="G7" i="71"/>
  <c r="L7" i="71"/>
  <c r="G8" i="71"/>
  <c r="L8" i="71"/>
  <c r="G9" i="71"/>
  <c r="L9" i="71"/>
  <c r="G10" i="71"/>
  <c r="L10" i="71"/>
  <c r="G11" i="71"/>
  <c r="L11" i="71"/>
  <c r="L12" i="71"/>
  <c r="G13" i="71"/>
  <c r="L13" i="71"/>
  <c r="G14" i="71"/>
  <c r="L14" i="71"/>
  <c r="G15" i="71"/>
  <c r="L15" i="71"/>
  <c r="G16" i="71"/>
  <c r="L16" i="71"/>
  <c r="G17" i="71"/>
  <c r="L17" i="71"/>
  <c r="C18" i="71"/>
  <c r="D18" i="71"/>
  <c r="E18" i="71"/>
  <c r="F18" i="71"/>
  <c r="H18" i="71"/>
  <c r="I18" i="71"/>
  <c r="I42" i="71" s="1"/>
  <c r="J18" i="71"/>
  <c r="K18" i="71"/>
  <c r="M18" i="71"/>
  <c r="N18" i="71"/>
  <c r="N42" i="71" s="1"/>
  <c r="O18" i="71"/>
  <c r="P18" i="71"/>
  <c r="G19" i="71"/>
  <c r="L19" i="71"/>
  <c r="L20" i="71"/>
  <c r="L22" i="71"/>
  <c r="L23" i="71"/>
  <c r="L24" i="71"/>
  <c r="L25" i="71"/>
  <c r="G26" i="71"/>
  <c r="L26" i="71"/>
  <c r="G27" i="71"/>
  <c r="L27" i="71"/>
  <c r="G28" i="71"/>
  <c r="L28" i="71"/>
  <c r="L29" i="71"/>
  <c r="G30" i="71"/>
  <c r="L30" i="71"/>
  <c r="L31" i="71"/>
  <c r="L32" i="71"/>
  <c r="L33" i="71"/>
  <c r="L34" i="71"/>
  <c r="L35" i="71"/>
  <c r="L36" i="71"/>
  <c r="L37" i="71"/>
  <c r="L39" i="71"/>
  <c r="L40" i="71"/>
  <c r="C41" i="71"/>
  <c r="C42" i="71" s="1"/>
  <c r="D41" i="71"/>
  <c r="E41" i="71"/>
  <c r="F41" i="71"/>
  <c r="H41" i="71"/>
  <c r="H42" i="71" s="1"/>
  <c r="I41" i="71"/>
  <c r="J41" i="71"/>
  <c r="K41" i="71"/>
  <c r="L41" i="71"/>
  <c r="M41" i="71"/>
  <c r="M42" i="71" s="1"/>
  <c r="N41" i="71"/>
  <c r="O41" i="71"/>
  <c r="P41" i="71"/>
  <c r="G43" i="71"/>
  <c r="L43" i="71"/>
  <c r="L44" i="71"/>
  <c r="C45" i="71"/>
  <c r="D45" i="71"/>
  <c r="G45" i="71" s="1"/>
  <c r="E45" i="71"/>
  <c r="F45" i="71"/>
  <c r="H45" i="71"/>
  <c r="I45" i="71"/>
  <c r="J45" i="71"/>
  <c r="K45" i="71"/>
  <c r="L45" i="71" s="1"/>
  <c r="M45" i="71"/>
  <c r="N45" i="71"/>
  <c r="O45" i="71"/>
  <c r="P45" i="71"/>
  <c r="L46" i="71"/>
  <c r="C47" i="71"/>
  <c r="D47" i="71"/>
  <c r="E47" i="71"/>
  <c r="F47" i="71"/>
  <c r="H47" i="71"/>
  <c r="I47" i="71"/>
  <c r="J47" i="71"/>
  <c r="K47" i="71"/>
  <c r="L47" i="71" s="1"/>
  <c r="M47" i="71"/>
  <c r="N47" i="71"/>
  <c r="O47" i="71"/>
  <c r="P47" i="71"/>
  <c r="L48" i="71"/>
  <c r="L49" i="71"/>
  <c r="L50" i="71"/>
  <c r="L51" i="71"/>
  <c r="L52" i="71"/>
  <c r="L53" i="71"/>
  <c r="L54" i="71"/>
  <c r="L55" i="71"/>
  <c r="L42" i="109" l="1"/>
  <c r="L41" i="109"/>
  <c r="H42" i="109"/>
  <c r="D42" i="109"/>
  <c r="G18" i="71"/>
  <c r="G18" i="109"/>
  <c r="D42" i="71"/>
  <c r="E42" i="71"/>
  <c r="C42" i="110"/>
  <c r="P42" i="109"/>
  <c r="F42" i="109"/>
  <c r="L42" i="110"/>
  <c r="D42" i="110"/>
  <c r="K42" i="110"/>
  <c r="M42" i="110"/>
  <c r="I42" i="110"/>
  <c r="E42" i="110"/>
  <c r="O42" i="109"/>
  <c r="J42" i="109"/>
  <c r="E42" i="109"/>
  <c r="P42" i="71"/>
  <c r="O42" i="71"/>
  <c r="J42" i="71"/>
  <c r="H42" i="110"/>
  <c r="G42" i="110"/>
  <c r="K42" i="71"/>
  <c r="L18" i="71"/>
  <c r="F42" i="71"/>
  <c r="G42" i="71" s="1"/>
  <c r="G41" i="71"/>
  <c r="G42" i="109" l="1"/>
  <c r="L42" i="71"/>
  <c r="O7" i="108"/>
  <c r="P7" i="108"/>
  <c r="O8" i="108"/>
  <c r="P8" i="108"/>
  <c r="Q8" i="108" s="1"/>
  <c r="O9" i="108"/>
  <c r="P9" i="108"/>
  <c r="O10" i="108"/>
  <c r="P10" i="108"/>
  <c r="Q10" i="108" s="1"/>
  <c r="O11" i="108"/>
  <c r="P11" i="108"/>
  <c r="O12" i="108"/>
  <c r="P12" i="108"/>
  <c r="Q12" i="108" s="1"/>
  <c r="O13" i="108"/>
  <c r="P13" i="108"/>
  <c r="O14" i="108"/>
  <c r="P14" i="108"/>
  <c r="Q14" i="108" s="1"/>
  <c r="O15" i="108"/>
  <c r="P15" i="108"/>
  <c r="O16" i="108"/>
  <c r="P16" i="108"/>
  <c r="Q16" i="108" s="1"/>
  <c r="O17" i="108"/>
  <c r="P17" i="108"/>
  <c r="O19" i="108"/>
  <c r="P19" i="108"/>
  <c r="Q19" i="108" s="1"/>
  <c r="O20" i="108"/>
  <c r="P20" i="108"/>
  <c r="O21" i="108"/>
  <c r="P21" i="108"/>
  <c r="Q21" i="108" s="1"/>
  <c r="O22" i="108"/>
  <c r="P22" i="108"/>
  <c r="O23" i="108"/>
  <c r="P23" i="108"/>
  <c r="Q23" i="108" s="1"/>
  <c r="O24" i="108"/>
  <c r="P24" i="108"/>
  <c r="O25" i="108"/>
  <c r="P25" i="108"/>
  <c r="Q25" i="108" s="1"/>
  <c r="O26" i="108"/>
  <c r="P26" i="108"/>
  <c r="O27" i="108"/>
  <c r="P27" i="108"/>
  <c r="Q27" i="108" s="1"/>
  <c r="O28" i="108"/>
  <c r="P28" i="108"/>
  <c r="O29" i="108"/>
  <c r="P29" i="108"/>
  <c r="Q29" i="108" s="1"/>
  <c r="O30" i="108"/>
  <c r="P30" i="108"/>
  <c r="O31" i="108"/>
  <c r="P31" i="108"/>
  <c r="Q31" i="108" s="1"/>
  <c r="O32" i="108"/>
  <c r="P32" i="108"/>
  <c r="O33" i="108"/>
  <c r="P33" i="108"/>
  <c r="Q33" i="108" s="1"/>
  <c r="O34" i="108"/>
  <c r="P34" i="108"/>
  <c r="O35" i="108"/>
  <c r="P35" i="108"/>
  <c r="Q35" i="108" s="1"/>
  <c r="O36" i="108"/>
  <c r="P36" i="108"/>
  <c r="O37" i="108"/>
  <c r="P37" i="108"/>
  <c r="Q37" i="108" s="1"/>
  <c r="O38" i="108"/>
  <c r="P38" i="108"/>
  <c r="O39" i="108"/>
  <c r="P39" i="108"/>
  <c r="Q39" i="108" s="1"/>
  <c r="O40" i="108"/>
  <c r="P40" i="108"/>
  <c r="O43" i="108"/>
  <c r="P43" i="108"/>
  <c r="O44" i="108"/>
  <c r="P44" i="108"/>
  <c r="O46" i="108"/>
  <c r="P46" i="108"/>
  <c r="Q46" i="108" s="1"/>
  <c r="O48" i="108"/>
  <c r="P48" i="108"/>
  <c r="O49" i="108"/>
  <c r="P49" i="108"/>
  <c r="Q49" i="108" s="1"/>
  <c r="O50" i="108"/>
  <c r="P50" i="108"/>
  <c r="Q50" i="108" s="1"/>
  <c r="O51" i="108"/>
  <c r="P51" i="108"/>
  <c r="Q51" i="108" s="1"/>
  <c r="O52" i="108"/>
  <c r="P52" i="108"/>
  <c r="O53" i="108"/>
  <c r="P53" i="108"/>
  <c r="Q53" i="108" s="1"/>
  <c r="O54" i="108"/>
  <c r="P54" i="108"/>
  <c r="O55" i="108"/>
  <c r="P55" i="108"/>
  <c r="Q55" i="108" s="1"/>
  <c r="P6" i="108"/>
  <c r="O6" i="108"/>
  <c r="M7" i="108"/>
  <c r="Q7" i="109" s="1"/>
  <c r="N7" i="108"/>
  <c r="R7" i="109" s="1"/>
  <c r="M8" i="108"/>
  <c r="N8" i="108"/>
  <c r="M9" i="108"/>
  <c r="Q9" i="109" s="1"/>
  <c r="N9" i="108"/>
  <c r="R9" i="109" s="1"/>
  <c r="M10" i="108"/>
  <c r="N10" i="108"/>
  <c r="M11" i="108"/>
  <c r="N11" i="108"/>
  <c r="R11" i="109" s="1"/>
  <c r="M12" i="108"/>
  <c r="N12" i="108"/>
  <c r="R12" i="109" s="1"/>
  <c r="M13" i="108"/>
  <c r="Q13" i="109" s="1"/>
  <c r="N13" i="108"/>
  <c r="R13" i="109" s="1"/>
  <c r="M14" i="108"/>
  <c r="N14" i="108"/>
  <c r="R14" i="109" s="1"/>
  <c r="M15" i="108"/>
  <c r="N15" i="108"/>
  <c r="R15" i="109" s="1"/>
  <c r="M16" i="108"/>
  <c r="N16" i="108"/>
  <c r="M17" i="108"/>
  <c r="Q17" i="109" s="1"/>
  <c r="N17" i="108"/>
  <c r="R17" i="109" s="1"/>
  <c r="M19" i="108"/>
  <c r="Q19" i="109" s="1"/>
  <c r="N19" i="108"/>
  <c r="R19" i="109" s="1"/>
  <c r="M20" i="108"/>
  <c r="N20" i="108"/>
  <c r="M21" i="108"/>
  <c r="N21" i="108"/>
  <c r="R21" i="109" s="1"/>
  <c r="M22" i="108"/>
  <c r="Q22" i="109" s="1"/>
  <c r="N22" i="108"/>
  <c r="R22" i="109" s="1"/>
  <c r="M23" i="108"/>
  <c r="Q23" i="109" s="1"/>
  <c r="N23" i="108"/>
  <c r="R23" i="109" s="1"/>
  <c r="M24" i="108"/>
  <c r="N24" i="108"/>
  <c r="R24" i="109" s="1"/>
  <c r="M25" i="108"/>
  <c r="N25" i="108"/>
  <c r="R25" i="109" s="1"/>
  <c r="M26" i="108"/>
  <c r="Q26" i="109" s="1"/>
  <c r="N26" i="108"/>
  <c r="R26" i="109" s="1"/>
  <c r="M27" i="108"/>
  <c r="Q27" i="109" s="1"/>
  <c r="N27" i="108"/>
  <c r="R27" i="109" s="1"/>
  <c r="M28" i="108"/>
  <c r="N28" i="108"/>
  <c r="R28" i="109" s="1"/>
  <c r="M29" i="108"/>
  <c r="N29" i="108"/>
  <c r="R29" i="109" s="1"/>
  <c r="M30" i="108"/>
  <c r="Q30" i="109" s="1"/>
  <c r="N30" i="108"/>
  <c r="R30" i="109" s="1"/>
  <c r="M31" i="108"/>
  <c r="Q31" i="109" s="1"/>
  <c r="N31" i="108"/>
  <c r="R31" i="109" s="1"/>
  <c r="M32" i="108"/>
  <c r="N32" i="108"/>
  <c r="R32" i="109" s="1"/>
  <c r="M33" i="108"/>
  <c r="N33" i="108"/>
  <c r="R33" i="109" s="1"/>
  <c r="M34" i="108"/>
  <c r="Q34" i="109" s="1"/>
  <c r="N34" i="108"/>
  <c r="R34" i="109" s="1"/>
  <c r="M35" i="108"/>
  <c r="Q35" i="109" s="1"/>
  <c r="N35" i="108"/>
  <c r="R35" i="109" s="1"/>
  <c r="M36" i="108"/>
  <c r="N36" i="108"/>
  <c r="M37" i="108"/>
  <c r="N37" i="108"/>
  <c r="R37" i="109" s="1"/>
  <c r="M38" i="108"/>
  <c r="N38" i="108"/>
  <c r="M39" i="108"/>
  <c r="Q39" i="109" s="1"/>
  <c r="N39" i="108"/>
  <c r="M40" i="108"/>
  <c r="N40" i="108"/>
  <c r="R40" i="109" s="1"/>
  <c r="M43" i="108"/>
  <c r="N43" i="108"/>
  <c r="M44" i="108"/>
  <c r="N44" i="108"/>
  <c r="R44" i="109" s="1"/>
  <c r="M46" i="108"/>
  <c r="Q46" i="109" s="1"/>
  <c r="N46" i="108"/>
  <c r="R46" i="109" s="1"/>
  <c r="M48" i="108"/>
  <c r="N48" i="108"/>
  <c r="R48" i="109" s="1"/>
  <c r="M49" i="108"/>
  <c r="N49" i="108"/>
  <c r="M50" i="108"/>
  <c r="N50" i="108"/>
  <c r="R50" i="109" s="1"/>
  <c r="M51" i="108"/>
  <c r="N51" i="108"/>
  <c r="R51" i="109" s="1"/>
  <c r="M52" i="108"/>
  <c r="Q52" i="109" s="1"/>
  <c r="N52" i="108"/>
  <c r="M53" i="108"/>
  <c r="Q53" i="109" s="1"/>
  <c r="N53" i="108"/>
  <c r="R53" i="109" s="1"/>
  <c r="M54" i="108"/>
  <c r="N54" i="108"/>
  <c r="R54" i="109" s="1"/>
  <c r="M55" i="108"/>
  <c r="Q55" i="109" s="1"/>
  <c r="N55" i="108"/>
  <c r="R55" i="109" s="1"/>
  <c r="N6" i="108"/>
  <c r="M6" i="108"/>
  <c r="Q6" i="109" s="1"/>
  <c r="O7" i="110"/>
  <c r="P7" i="110"/>
  <c r="Q7" i="110" s="1"/>
  <c r="O8" i="110"/>
  <c r="P8" i="110"/>
  <c r="Q8" i="110" s="1"/>
  <c r="O9" i="110"/>
  <c r="P9" i="110"/>
  <c r="Q9" i="110" s="1"/>
  <c r="O10" i="110"/>
  <c r="P10" i="110"/>
  <c r="Q10" i="110" s="1"/>
  <c r="O11" i="110"/>
  <c r="P11" i="110"/>
  <c r="Q11" i="110" s="1"/>
  <c r="O12" i="110"/>
  <c r="P12" i="110"/>
  <c r="Q12" i="110" s="1"/>
  <c r="O13" i="110"/>
  <c r="P13" i="110"/>
  <c r="Q13" i="110" s="1"/>
  <c r="O14" i="110"/>
  <c r="P14" i="110"/>
  <c r="Q14" i="110" s="1"/>
  <c r="O15" i="110"/>
  <c r="P15" i="110"/>
  <c r="Q15" i="110" s="1"/>
  <c r="O16" i="110"/>
  <c r="P16" i="110"/>
  <c r="Q16" i="110" s="1"/>
  <c r="O17" i="110"/>
  <c r="P17" i="110"/>
  <c r="Q17" i="110" s="1"/>
  <c r="O18" i="110"/>
  <c r="P18" i="110"/>
  <c r="O19" i="110"/>
  <c r="P19" i="110"/>
  <c r="Q19" i="110" s="1"/>
  <c r="O20" i="110"/>
  <c r="P20" i="110"/>
  <c r="Q20" i="110" s="1"/>
  <c r="O21" i="110"/>
  <c r="P21" i="110"/>
  <c r="O22" i="110"/>
  <c r="P22" i="110"/>
  <c r="Q22" i="110" s="1"/>
  <c r="O23" i="110"/>
  <c r="P23" i="110"/>
  <c r="Q23" i="110" s="1"/>
  <c r="O24" i="110"/>
  <c r="P24" i="110"/>
  <c r="Q24" i="110" s="1"/>
  <c r="O25" i="110"/>
  <c r="P25" i="110"/>
  <c r="Q25" i="110" s="1"/>
  <c r="O26" i="110"/>
  <c r="P26" i="110"/>
  <c r="Q26" i="110" s="1"/>
  <c r="O27" i="110"/>
  <c r="P27" i="110"/>
  <c r="Q27" i="110" s="1"/>
  <c r="O28" i="110"/>
  <c r="P28" i="110"/>
  <c r="Q28" i="110" s="1"/>
  <c r="O29" i="110"/>
  <c r="P29" i="110"/>
  <c r="Q29" i="110" s="1"/>
  <c r="O30" i="110"/>
  <c r="P30" i="110"/>
  <c r="Q30" i="110" s="1"/>
  <c r="O31" i="110"/>
  <c r="P31" i="110"/>
  <c r="Q31" i="110" s="1"/>
  <c r="O32" i="110"/>
  <c r="P32" i="110"/>
  <c r="Q32" i="110" s="1"/>
  <c r="O33" i="110"/>
  <c r="P33" i="110"/>
  <c r="Q33" i="110" s="1"/>
  <c r="O34" i="110"/>
  <c r="P34" i="110"/>
  <c r="Q34" i="110" s="1"/>
  <c r="O35" i="110"/>
  <c r="P35" i="110"/>
  <c r="Q35" i="110" s="1"/>
  <c r="O36" i="110"/>
  <c r="P36" i="110"/>
  <c r="Q36" i="110" s="1"/>
  <c r="O37" i="110"/>
  <c r="P37" i="110"/>
  <c r="O38" i="110"/>
  <c r="P38" i="110"/>
  <c r="Q38" i="110" s="1"/>
  <c r="O39" i="110"/>
  <c r="P39" i="110"/>
  <c r="Q39" i="110" s="1"/>
  <c r="O40" i="110"/>
  <c r="P40" i="110"/>
  <c r="Q40" i="110" s="1"/>
  <c r="O41" i="110"/>
  <c r="P41" i="110"/>
  <c r="O42" i="110"/>
  <c r="P42" i="110"/>
  <c r="O43" i="110"/>
  <c r="P43" i="110"/>
  <c r="Q43" i="110" s="1"/>
  <c r="O44" i="110"/>
  <c r="P44" i="110"/>
  <c r="Q44" i="110" s="1"/>
  <c r="O45" i="110"/>
  <c r="P45" i="110"/>
  <c r="O46" i="110"/>
  <c r="P46" i="110"/>
  <c r="Q46" i="110" s="1"/>
  <c r="O47" i="110"/>
  <c r="P47" i="110"/>
  <c r="O48" i="110"/>
  <c r="P48" i="110"/>
  <c r="Q48" i="110" s="1"/>
  <c r="O49" i="110"/>
  <c r="P49" i="110"/>
  <c r="Q49" i="110" s="1"/>
  <c r="O50" i="110"/>
  <c r="P50" i="110"/>
  <c r="Q50" i="110" s="1"/>
  <c r="O51" i="110"/>
  <c r="P51" i="110"/>
  <c r="Q51" i="110" s="1"/>
  <c r="O52" i="110"/>
  <c r="P52" i="110"/>
  <c r="Q52" i="110" s="1"/>
  <c r="O53" i="110"/>
  <c r="P53" i="110"/>
  <c r="Q53" i="110" s="1"/>
  <c r="O54" i="110"/>
  <c r="P54" i="110"/>
  <c r="Q54" i="110" s="1"/>
  <c r="O55" i="110"/>
  <c r="P55" i="110"/>
  <c r="Q55" i="110" s="1"/>
  <c r="P6" i="110"/>
  <c r="Q6" i="110" s="1"/>
  <c r="O6" i="110"/>
  <c r="D56" i="110"/>
  <c r="D57" i="110" s="1"/>
  <c r="E56" i="110"/>
  <c r="E57" i="110" s="1"/>
  <c r="F56" i="110"/>
  <c r="G56" i="110"/>
  <c r="G57" i="110" s="1"/>
  <c r="H56" i="110"/>
  <c r="H57" i="110" s="1"/>
  <c r="I56" i="110"/>
  <c r="I57" i="110" s="1"/>
  <c r="J56" i="110"/>
  <c r="J57" i="110" s="1"/>
  <c r="K56" i="110"/>
  <c r="K57" i="110" s="1"/>
  <c r="L56" i="110"/>
  <c r="L57" i="110" s="1"/>
  <c r="M56" i="110"/>
  <c r="M57" i="110" s="1"/>
  <c r="N56" i="110"/>
  <c r="N57" i="110" s="1"/>
  <c r="C56" i="110"/>
  <c r="C57" i="110" s="1"/>
  <c r="Q37" i="110"/>
  <c r="S46" i="109"/>
  <c r="R8" i="109"/>
  <c r="R10" i="109"/>
  <c r="R16" i="109"/>
  <c r="R20" i="109"/>
  <c r="R36" i="109"/>
  <c r="R39" i="109"/>
  <c r="R43" i="109"/>
  <c r="R52" i="109"/>
  <c r="R6" i="109"/>
  <c r="Q8" i="109"/>
  <c r="Q10" i="109"/>
  <c r="Q11" i="109"/>
  <c r="Q12" i="109"/>
  <c r="Q14" i="109"/>
  <c r="Q15" i="109"/>
  <c r="Q16" i="109"/>
  <c r="Q20" i="109"/>
  <c r="Q21" i="109"/>
  <c r="Q24" i="109"/>
  <c r="Q25" i="109"/>
  <c r="Q28" i="109"/>
  <c r="Q29" i="109"/>
  <c r="Q32" i="109"/>
  <c r="Q33" i="109"/>
  <c r="Q36" i="109"/>
  <c r="Q37" i="109"/>
  <c r="Q40" i="109"/>
  <c r="Q43" i="109"/>
  <c r="Q44" i="109"/>
  <c r="Q48" i="109"/>
  <c r="Q50" i="109"/>
  <c r="Q51" i="109"/>
  <c r="Q54" i="109"/>
  <c r="P57" i="109"/>
  <c r="D56" i="109"/>
  <c r="E56" i="109"/>
  <c r="E57" i="109" s="1"/>
  <c r="F56" i="109"/>
  <c r="F57" i="109" s="1"/>
  <c r="H56" i="109"/>
  <c r="H57" i="109" s="1"/>
  <c r="I56" i="109"/>
  <c r="J56" i="109"/>
  <c r="J57" i="109" s="1"/>
  <c r="K56" i="109"/>
  <c r="K57" i="109" s="1"/>
  <c r="M56" i="109"/>
  <c r="M57" i="109" s="1"/>
  <c r="N56" i="109"/>
  <c r="N57" i="109" s="1"/>
  <c r="O56" i="109"/>
  <c r="O57" i="109" s="1"/>
  <c r="P56" i="109"/>
  <c r="C56" i="109"/>
  <c r="C57" i="109" s="1"/>
  <c r="Q7" i="71"/>
  <c r="Q8" i="71"/>
  <c r="Q9" i="71"/>
  <c r="Q10" i="71"/>
  <c r="Q11" i="71"/>
  <c r="Q12" i="71"/>
  <c r="Q13" i="71"/>
  <c r="Q14" i="71"/>
  <c r="Q15" i="71"/>
  <c r="Q16" i="71"/>
  <c r="Q17" i="71"/>
  <c r="Q18" i="71"/>
  <c r="Q19" i="71"/>
  <c r="Q20" i="71"/>
  <c r="Q21" i="71"/>
  <c r="Q22" i="71"/>
  <c r="Q23" i="71"/>
  <c r="Q24" i="71"/>
  <c r="Q25" i="71"/>
  <c r="Q26" i="71"/>
  <c r="Q27" i="71"/>
  <c r="Q28" i="71"/>
  <c r="Q29" i="71"/>
  <c r="Q30" i="71"/>
  <c r="Q31" i="71"/>
  <c r="Q32" i="71"/>
  <c r="Q33" i="71"/>
  <c r="Q34" i="71"/>
  <c r="Q35" i="71"/>
  <c r="Q36" i="71"/>
  <c r="Q37" i="71"/>
  <c r="Q38" i="71"/>
  <c r="Q40" i="71"/>
  <c r="Q43" i="71"/>
  <c r="Q44" i="71"/>
  <c r="Q45" i="71"/>
  <c r="Q46" i="71"/>
  <c r="Q47" i="71"/>
  <c r="Q48" i="71"/>
  <c r="Q49" i="71"/>
  <c r="Q50" i="71"/>
  <c r="Q51" i="71"/>
  <c r="Q52" i="71"/>
  <c r="Q53" i="71"/>
  <c r="Q54" i="71"/>
  <c r="Q55" i="71"/>
  <c r="Q6" i="71"/>
  <c r="P57" i="71"/>
  <c r="D56" i="71"/>
  <c r="E56" i="71"/>
  <c r="E57" i="71" s="1"/>
  <c r="F56" i="71"/>
  <c r="H56" i="71"/>
  <c r="H57" i="71" s="1"/>
  <c r="I56" i="71"/>
  <c r="I57" i="71" s="1"/>
  <c r="J56" i="71"/>
  <c r="J57" i="71" s="1"/>
  <c r="K56" i="71"/>
  <c r="K57" i="71" s="1"/>
  <c r="M56" i="71"/>
  <c r="N56" i="71"/>
  <c r="O56" i="71"/>
  <c r="P56" i="71"/>
  <c r="C56" i="71"/>
  <c r="C57" i="71" s="1"/>
  <c r="D57" i="71"/>
  <c r="Q41" i="71"/>
  <c r="Q22" i="93"/>
  <c r="Q43" i="93"/>
  <c r="O7" i="93"/>
  <c r="S7" i="109" s="1"/>
  <c r="P7" i="93"/>
  <c r="O8" i="93"/>
  <c r="S8" i="109" s="1"/>
  <c r="P8" i="93"/>
  <c r="O9" i="93"/>
  <c r="P9" i="93"/>
  <c r="Q9" i="93" s="1"/>
  <c r="O10" i="93"/>
  <c r="P10" i="93"/>
  <c r="Q10" i="93" s="1"/>
  <c r="O11" i="93"/>
  <c r="S11" i="109" s="1"/>
  <c r="P11" i="93"/>
  <c r="Q11" i="93" s="1"/>
  <c r="O12" i="93"/>
  <c r="P12" i="93"/>
  <c r="Q12" i="93" s="1"/>
  <c r="O13" i="93"/>
  <c r="S13" i="109" s="1"/>
  <c r="P13" i="93"/>
  <c r="O14" i="93"/>
  <c r="S14" i="109" s="1"/>
  <c r="P14" i="93"/>
  <c r="Q14" i="93" s="1"/>
  <c r="O15" i="93"/>
  <c r="S15" i="109" s="1"/>
  <c r="P15" i="93"/>
  <c r="O16" i="93"/>
  <c r="P16" i="93"/>
  <c r="O17" i="93"/>
  <c r="S17" i="109" s="1"/>
  <c r="P17" i="93"/>
  <c r="O19" i="93"/>
  <c r="S19" i="109" s="1"/>
  <c r="P19" i="93"/>
  <c r="O20" i="93"/>
  <c r="S20" i="109" s="1"/>
  <c r="P20" i="93"/>
  <c r="Q20" i="93" s="1"/>
  <c r="O21" i="93"/>
  <c r="S21" i="109" s="1"/>
  <c r="P21" i="93"/>
  <c r="Q21" i="93" s="1"/>
  <c r="O22" i="93"/>
  <c r="P22" i="93"/>
  <c r="O23" i="93"/>
  <c r="S23" i="109" s="1"/>
  <c r="P23" i="93"/>
  <c r="O24" i="93"/>
  <c r="S24" i="109" s="1"/>
  <c r="P24" i="93"/>
  <c r="Q24" i="93" s="1"/>
  <c r="O25" i="93"/>
  <c r="S25" i="109" s="1"/>
  <c r="P25" i="93"/>
  <c r="Q25" i="93" s="1"/>
  <c r="O26" i="93"/>
  <c r="S26" i="109" s="1"/>
  <c r="P26" i="93"/>
  <c r="Q26" i="93" s="1"/>
  <c r="O27" i="93"/>
  <c r="S27" i="109" s="1"/>
  <c r="P27" i="93"/>
  <c r="Q27" i="93" s="1"/>
  <c r="O28" i="93"/>
  <c r="P28" i="93"/>
  <c r="Q28" i="93" s="1"/>
  <c r="O29" i="93"/>
  <c r="S29" i="109" s="1"/>
  <c r="P29" i="93"/>
  <c r="O30" i="93"/>
  <c r="S30" i="109" s="1"/>
  <c r="P30" i="93"/>
  <c r="Q30" i="93" s="1"/>
  <c r="O31" i="93"/>
  <c r="S31" i="109" s="1"/>
  <c r="P31" i="93"/>
  <c r="Q31" i="93" s="1"/>
  <c r="O32" i="93"/>
  <c r="P32" i="93"/>
  <c r="O33" i="93"/>
  <c r="S33" i="109" s="1"/>
  <c r="P33" i="93"/>
  <c r="O34" i="93"/>
  <c r="P34" i="93"/>
  <c r="Q34" i="93" s="1"/>
  <c r="O35" i="93"/>
  <c r="S35" i="109" s="1"/>
  <c r="P35" i="93"/>
  <c r="O36" i="93"/>
  <c r="S36" i="109" s="1"/>
  <c r="P36" i="93"/>
  <c r="Q36" i="93" s="1"/>
  <c r="O37" i="93"/>
  <c r="S37" i="109" s="1"/>
  <c r="P37" i="93"/>
  <c r="Q37" i="93" s="1"/>
  <c r="O38" i="93"/>
  <c r="P38" i="93"/>
  <c r="Q38" i="93" s="1"/>
  <c r="O39" i="93"/>
  <c r="S39" i="109" s="1"/>
  <c r="P39" i="93"/>
  <c r="O40" i="93"/>
  <c r="S40" i="109" s="1"/>
  <c r="P40" i="93"/>
  <c r="Q40" i="93" s="1"/>
  <c r="O43" i="93"/>
  <c r="P43" i="93"/>
  <c r="O44" i="93"/>
  <c r="P44" i="93"/>
  <c r="Q44" i="93" s="1"/>
  <c r="O46" i="93"/>
  <c r="P46" i="93"/>
  <c r="Q46" i="93" s="1"/>
  <c r="O48" i="93"/>
  <c r="P48" i="93"/>
  <c r="O49" i="93"/>
  <c r="P49" i="93"/>
  <c r="T49" i="109" s="1"/>
  <c r="O50" i="93"/>
  <c r="P50" i="93"/>
  <c r="Q50" i="93" s="1"/>
  <c r="O51" i="93"/>
  <c r="P51" i="93"/>
  <c r="T51" i="109" s="1"/>
  <c r="O52" i="93"/>
  <c r="S52" i="109" s="1"/>
  <c r="P52" i="93"/>
  <c r="Q52" i="93" s="1"/>
  <c r="O53" i="93"/>
  <c r="P53" i="93"/>
  <c r="T53" i="109" s="1"/>
  <c r="O54" i="93"/>
  <c r="P54" i="93"/>
  <c r="Q54" i="93" s="1"/>
  <c r="O55" i="93"/>
  <c r="P55" i="93"/>
  <c r="Q55" i="93" s="1"/>
  <c r="P6" i="93"/>
  <c r="Q6" i="93" s="1"/>
  <c r="O6" i="93"/>
  <c r="D56" i="93"/>
  <c r="E56" i="93"/>
  <c r="F56" i="93"/>
  <c r="G56" i="93"/>
  <c r="H56" i="93"/>
  <c r="I56" i="93"/>
  <c r="J56" i="93"/>
  <c r="K56" i="93"/>
  <c r="L56" i="93"/>
  <c r="M56" i="93"/>
  <c r="N56" i="93"/>
  <c r="C56" i="93"/>
  <c r="D47" i="93"/>
  <c r="E47" i="93"/>
  <c r="F47" i="93"/>
  <c r="G47" i="93"/>
  <c r="H47" i="93"/>
  <c r="I47" i="93"/>
  <c r="J47" i="93"/>
  <c r="K47" i="93"/>
  <c r="L47" i="93"/>
  <c r="M47" i="93"/>
  <c r="N47" i="93"/>
  <c r="C47" i="93"/>
  <c r="D45" i="93"/>
  <c r="E45" i="93"/>
  <c r="F45" i="93"/>
  <c r="G45" i="93"/>
  <c r="O45" i="93" s="1"/>
  <c r="H45" i="93"/>
  <c r="I45" i="93"/>
  <c r="J45" i="93"/>
  <c r="K45" i="93"/>
  <c r="L45" i="93"/>
  <c r="M45" i="93"/>
  <c r="N45" i="93"/>
  <c r="C45" i="93"/>
  <c r="D41" i="93"/>
  <c r="E41" i="93"/>
  <c r="F41" i="93"/>
  <c r="G41" i="93"/>
  <c r="H41" i="93"/>
  <c r="I41" i="93"/>
  <c r="J41" i="93"/>
  <c r="K41" i="93"/>
  <c r="L41" i="93"/>
  <c r="M41" i="93"/>
  <c r="N41" i="93"/>
  <c r="C41" i="93"/>
  <c r="D18" i="93"/>
  <c r="E18" i="93"/>
  <c r="F18" i="93"/>
  <c r="F42" i="93" s="1"/>
  <c r="G18" i="93"/>
  <c r="H18" i="93"/>
  <c r="I18" i="93"/>
  <c r="J18" i="93"/>
  <c r="K18" i="93"/>
  <c r="K42" i="93" s="1"/>
  <c r="K57" i="93" s="1"/>
  <c r="L18" i="93"/>
  <c r="M18" i="93"/>
  <c r="N18" i="93"/>
  <c r="C18" i="93"/>
  <c r="Q54" i="108" l="1"/>
  <c r="S53" i="109"/>
  <c r="Q52" i="108"/>
  <c r="Q48" i="108"/>
  <c r="Q44" i="108"/>
  <c r="Q40" i="108"/>
  <c r="Q38" i="108"/>
  <c r="Q36" i="108"/>
  <c r="Q34" i="108"/>
  <c r="Q32" i="108"/>
  <c r="Q30" i="108"/>
  <c r="Q28" i="108"/>
  <c r="Q26" i="108"/>
  <c r="Q24" i="108"/>
  <c r="Q22" i="108"/>
  <c r="Q20" i="108"/>
  <c r="Q17" i="108"/>
  <c r="Q15" i="108"/>
  <c r="Q13" i="108"/>
  <c r="Q11" i="108"/>
  <c r="Q9" i="108"/>
  <c r="Q7" i="108"/>
  <c r="T39" i="109"/>
  <c r="T35" i="109"/>
  <c r="U35" i="109" s="1"/>
  <c r="T23" i="109"/>
  <c r="T19" i="109"/>
  <c r="T16" i="109"/>
  <c r="U16" i="109" s="1"/>
  <c r="T8" i="109"/>
  <c r="U8" i="109" s="1"/>
  <c r="Q53" i="93"/>
  <c r="Q6" i="108"/>
  <c r="L42" i="93"/>
  <c r="N42" i="93"/>
  <c r="N57" i="93" s="1"/>
  <c r="Q43" i="108"/>
  <c r="T43" i="109"/>
  <c r="U43" i="109" s="1"/>
  <c r="T32" i="109"/>
  <c r="T17" i="109"/>
  <c r="U17" i="109" s="1"/>
  <c r="T13" i="109"/>
  <c r="U13" i="109" s="1"/>
  <c r="T9" i="109"/>
  <c r="U9" i="109" s="1"/>
  <c r="T24" i="109"/>
  <c r="S55" i="109"/>
  <c r="S51" i="109"/>
  <c r="S49" i="109"/>
  <c r="S6" i="109"/>
  <c r="T48" i="109"/>
  <c r="S43" i="109"/>
  <c r="Q23" i="93"/>
  <c r="T31" i="109"/>
  <c r="U31" i="109" s="1"/>
  <c r="O47" i="93"/>
  <c r="P41" i="93"/>
  <c r="Q8" i="93"/>
  <c r="T55" i="109"/>
  <c r="U55" i="109" s="1"/>
  <c r="T12" i="109"/>
  <c r="U12" i="109" s="1"/>
  <c r="G42" i="93"/>
  <c r="G57" i="93" s="1"/>
  <c r="E42" i="93"/>
  <c r="E57" i="93" s="1"/>
  <c r="L57" i="93"/>
  <c r="Q39" i="93"/>
  <c r="Q13" i="93"/>
  <c r="T6" i="109"/>
  <c r="U6" i="109" s="1"/>
  <c r="T11" i="109"/>
  <c r="U11" i="109" s="1"/>
  <c r="S12" i="109"/>
  <c r="S10" i="109"/>
  <c r="T14" i="109"/>
  <c r="U14" i="109" s="1"/>
  <c r="T10" i="109"/>
  <c r="T40" i="109"/>
  <c r="U40" i="109" s="1"/>
  <c r="Q48" i="93"/>
  <c r="S38" i="109"/>
  <c r="S34" i="109"/>
  <c r="S32" i="109"/>
  <c r="S28" i="109"/>
  <c r="S22" i="109"/>
  <c r="S9" i="109"/>
  <c r="T33" i="109"/>
  <c r="U33" i="109" s="1"/>
  <c r="Q33" i="93"/>
  <c r="T29" i="109"/>
  <c r="U29" i="109" s="1"/>
  <c r="Q29" i="93"/>
  <c r="T37" i="109"/>
  <c r="U37" i="109" s="1"/>
  <c r="T27" i="109"/>
  <c r="U27" i="109" s="1"/>
  <c r="O18" i="93"/>
  <c r="M42" i="93"/>
  <c r="M57" i="93" s="1"/>
  <c r="I42" i="93"/>
  <c r="O41" i="93"/>
  <c r="P45" i="93"/>
  <c r="P47" i="93"/>
  <c r="Q35" i="93"/>
  <c r="Q19" i="93"/>
  <c r="T25" i="109"/>
  <c r="D42" i="93"/>
  <c r="D57" i="93" s="1"/>
  <c r="O56" i="93"/>
  <c r="Q15" i="93"/>
  <c r="T15" i="109"/>
  <c r="U15" i="109" s="1"/>
  <c r="T7" i="109"/>
  <c r="U7" i="109" s="1"/>
  <c r="Q7" i="93"/>
  <c r="Q17" i="93"/>
  <c r="T21" i="109"/>
  <c r="U21" i="109" s="1"/>
  <c r="T54" i="109"/>
  <c r="U54" i="109" s="1"/>
  <c r="T52" i="109"/>
  <c r="U52" i="109" s="1"/>
  <c r="T50" i="109"/>
  <c r="U50" i="109" s="1"/>
  <c r="T46" i="109"/>
  <c r="T44" i="109"/>
  <c r="U44" i="109" s="1"/>
  <c r="C42" i="93"/>
  <c r="C57" i="93" s="1"/>
  <c r="S54" i="109"/>
  <c r="S50" i="109"/>
  <c r="S48" i="109"/>
  <c r="S44" i="109"/>
  <c r="P56" i="93"/>
  <c r="Q56" i="93" s="1"/>
  <c r="F57" i="93"/>
  <c r="Q51" i="93"/>
  <c r="Q32" i="93"/>
  <c r="T38" i="109"/>
  <c r="T36" i="109"/>
  <c r="U36" i="109" s="1"/>
  <c r="T34" i="109"/>
  <c r="U34" i="109" s="1"/>
  <c r="T30" i="109"/>
  <c r="U30" i="109" s="1"/>
  <c r="T28" i="109"/>
  <c r="U28" i="109" s="1"/>
  <c r="T26" i="109"/>
  <c r="U26" i="109" s="1"/>
  <c r="T22" i="109"/>
  <c r="U22" i="109" s="1"/>
  <c r="T20" i="109"/>
  <c r="U20" i="109" s="1"/>
  <c r="Q16" i="93"/>
  <c r="P18" i="93"/>
  <c r="Q18" i="93" s="1"/>
  <c r="J42" i="93"/>
  <c r="I57" i="93"/>
  <c r="H42" i="93"/>
  <c r="S16" i="109"/>
  <c r="P56" i="110"/>
  <c r="O56" i="110"/>
  <c r="Q56" i="71"/>
  <c r="Q49" i="93"/>
  <c r="I57" i="109"/>
  <c r="L56" i="109"/>
  <c r="D57" i="109"/>
  <c r="G56" i="109"/>
  <c r="O57" i="110"/>
  <c r="F57" i="110"/>
  <c r="P57" i="110" s="1"/>
  <c r="O57" i="71"/>
  <c r="F57" i="71"/>
  <c r="G57" i="71" s="1"/>
  <c r="U10" i="109"/>
  <c r="U53" i="109"/>
  <c r="U51" i="109"/>
  <c r="U25" i="109"/>
  <c r="U23" i="109"/>
  <c r="U19" i="109"/>
  <c r="U32" i="109"/>
  <c r="U24" i="109"/>
  <c r="U39" i="109"/>
  <c r="U48" i="109"/>
  <c r="U46" i="109"/>
  <c r="M57" i="71"/>
  <c r="L57" i="71"/>
  <c r="L56" i="71"/>
  <c r="Q41" i="93"/>
  <c r="L7" i="108"/>
  <c r="L8" i="108"/>
  <c r="L9" i="108"/>
  <c r="L10" i="108"/>
  <c r="L11" i="108"/>
  <c r="L12" i="108"/>
  <c r="L13" i="108"/>
  <c r="L14" i="108"/>
  <c r="L15" i="108"/>
  <c r="L16" i="108"/>
  <c r="L17" i="108"/>
  <c r="L19" i="108"/>
  <c r="L20" i="108"/>
  <c r="L22" i="108"/>
  <c r="L23" i="108"/>
  <c r="L24" i="108"/>
  <c r="L25" i="108"/>
  <c r="L26" i="108"/>
  <c r="L27" i="108"/>
  <c r="L28" i="108"/>
  <c r="L29" i="108"/>
  <c r="L30" i="108"/>
  <c r="L31" i="108"/>
  <c r="L32" i="108"/>
  <c r="L33" i="108"/>
  <c r="L34" i="108"/>
  <c r="L35" i="108"/>
  <c r="L36" i="108"/>
  <c r="L37" i="108"/>
  <c r="L38" i="108"/>
  <c r="L40" i="108"/>
  <c r="L43" i="108"/>
  <c r="L44" i="108"/>
  <c r="L46" i="108"/>
  <c r="L48" i="108"/>
  <c r="L49" i="108"/>
  <c r="L50" i="108"/>
  <c r="L51" i="108"/>
  <c r="L52" i="108"/>
  <c r="L53" i="108"/>
  <c r="L54" i="108"/>
  <c r="L55" i="108"/>
  <c r="L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2" i="108"/>
  <c r="G23" i="108"/>
  <c r="G24" i="108"/>
  <c r="G25" i="108"/>
  <c r="G26" i="108"/>
  <c r="G27" i="108"/>
  <c r="G28" i="108"/>
  <c r="G29" i="108"/>
  <c r="G30" i="108"/>
  <c r="G31" i="108"/>
  <c r="G32" i="108"/>
  <c r="G33" i="108"/>
  <c r="G34" i="108"/>
  <c r="G35" i="108"/>
  <c r="G36" i="108"/>
  <c r="G37" i="108"/>
  <c r="G38" i="108"/>
  <c r="G40" i="108"/>
  <c r="G43" i="108"/>
  <c r="G44" i="108"/>
  <c r="G46" i="108"/>
  <c r="G48" i="108"/>
  <c r="G49" i="108"/>
  <c r="G50" i="108"/>
  <c r="G51" i="108"/>
  <c r="G52" i="108"/>
  <c r="G53" i="108"/>
  <c r="G54" i="108"/>
  <c r="G55" i="108"/>
  <c r="G6" i="108"/>
  <c r="D57" i="108"/>
  <c r="D56" i="108"/>
  <c r="E56" i="108"/>
  <c r="F56" i="108"/>
  <c r="H56" i="108"/>
  <c r="I56" i="108"/>
  <c r="J56" i="108"/>
  <c r="K56" i="108"/>
  <c r="C56" i="108"/>
  <c r="D47" i="108"/>
  <c r="E47" i="108"/>
  <c r="F47" i="108"/>
  <c r="G47" i="108" s="1"/>
  <c r="H47" i="108"/>
  <c r="I47" i="108"/>
  <c r="J47" i="108"/>
  <c r="K47" i="108"/>
  <c r="L47" i="108" s="1"/>
  <c r="C47" i="108"/>
  <c r="D45" i="108"/>
  <c r="E45" i="108"/>
  <c r="F45" i="108"/>
  <c r="G45" i="108" s="1"/>
  <c r="H45" i="108"/>
  <c r="I45" i="108"/>
  <c r="J45" i="108"/>
  <c r="K45" i="108"/>
  <c r="L45" i="108" s="1"/>
  <c r="C45" i="108"/>
  <c r="D42" i="108"/>
  <c r="I42" i="108"/>
  <c r="D41" i="108"/>
  <c r="E41" i="108"/>
  <c r="F41" i="108"/>
  <c r="H41" i="108"/>
  <c r="H42" i="108" s="1"/>
  <c r="H57" i="108" s="1"/>
  <c r="I41" i="108"/>
  <c r="J41" i="108"/>
  <c r="K41" i="108"/>
  <c r="C41" i="108"/>
  <c r="C42" i="108" s="1"/>
  <c r="D18" i="108"/>
  <c r="E18" i="108"/>
  <c r="E42" i="108" s="1"/>
  <c r="F18" i="108"/>
  <c r="F42" i="108" s="1"/>
  <c r="H18" i="108"/>
  <c r="I18" i="108"/>
  <c r="J18" i="108"/>
  <c r="J42" i="108" s="1"/>
  <c r="K18" i="108"/>
  <c r="K42" i="108" s="1"/>
  <c r="C18" i="108"/>
  <c r="Q38" i="109"/>
  <c r="R38" i="109"/>
  <c r="U38" i="109" s="1"/>
  <c r="Q49" i="109"/>
  <c r="R49" i="109"/>
  <c r="U49" i="109" s="1"/>
  <c r="L52" i="105"/>
  <c r="L23" i="105"/>
  <c r="L56" i="108" l="1"/>
  <c r="G56" i="108"/>
  <c r="K57" i="108"/>
  <c r="F57" i="108"/>
  <c r="G57" i="108" s="1"/>
  <c r="J57" i="108"/>
  <c r="L41" i="108"/>
  <c r="G41" i="108"/>
  <c r="I57" i="108"/>
  <c r="L18" i="108"/>
  <c r="O42" i="93"/>
  <c r="Q47" i="93"/>
  <c r="Q45" i="93"/>
  <c r="J57" i="93"/>
  <c r="O57" i="93"/>
  <c r="P42" i="93"/>
  <c r="Q42" i="93" s="1"/>
  <c r="H57" i="93"/>
  <c r="E57" i="108"/>
  <c r="L57" i="109"/>
  <c r="G57" i="109"/>
  <c r="L42" i="108"/>
  <c r="G42" i="108"/>
  <c r="Q42" i="71"/>
  <c r="N57" i="71"/>
  <c r="C57" i="108"/>
  <c r="G7" i="3"/>
  <c r="L7" i="73"/>
  <c r="L8" i="73"/>
  <c r="L9" i="73"/>
  <c r="L10" i="73"/>
  <c r="L11" i="73"/>
  <c r="L12" i="73"/>
  <c r="L13" i="73"/>
  <c r="L14" i="73"/>
  <c r="L15" i="73"/>
  <c r="L16" i="73"/>
  <c r="L17" i="73"/>
  <c r="L19" i="73"/>
  <c r="L20" i="73"/>
  <c r="L21" i="73"/>
  <c r="L22" i="73"/>
  <c r="L23" i="73"/>
  <c r="L25" i="73"/>
  <c r="L26" i="73"/>
  <c r="L27" i="73"/>
  <c r="L28" i="73"/>
  <c r="L29" i="73"/>
  <c r="L30" i="73"/>
  <c r="L32" i="73"/>
  <c r="L33" i="73"/>
  <c r="L34" i="73"/>
  <c r="L35" i="73"/>
  <c r="L36" i="73"/>
  <c r="L37" i="73"/>
  <c r="L39" i="73"/>
  <c r="L40" i="73"/>
  <c r="L43" i="73"/>
  <c r="L44" i="73"/>
  <c r="L46" i="73"/>
  <c r="L48" i="73"/>
  <c r="L49" i="73"/>
  <c r="L50" i="73"/>
  <c r="L51" i="73"/>
  <c r="L52" i="73"/>
  <c r="L53" i="73"/>
  <c r="L54" i="73"/>
  <c r="L55" i="73"/>
  <c r="L6" i="73"/>
  <c r="G7" i="73"/>
  <c r="G8" i="73"/>
  <c r="G9" i="73"/>
  <c r="G10" i="73"/>
  <c r="G11" i="73"/>
  <c r="G12" i="73"/>
  <c r="G13" i="73"/>
  <c r="G14" i="73"/>
  <c r="G15" i="73"/>
  <c r="G16" i="73"/>
  <c r="G17" i="73"/>
  <c r="G19" i="73"/>
  <c r="G20" i="73"/>
  <c r="G21" i="73"/>
  <c r="G22" i="73"/>
  <c r="G23" i="73"/>
  <c r="G24" i="73"/>
  <c r="G25" i="73"/>
  <c r="G26" i="73"/>
  <c r="G27" i="73"/>
  <c r="G28" i="73"/>
  <c r="G29" i="73"/>
  <c r="G30" i="73"/>
  <c r="G31" i="73"/>
  <c r="G32" i="73"/>
  <c r="G33" i="73"/>
  <c r="G34" i="73"/>
  <c r="G35" i="73"/>
  <c r="G36" i="73"/>
  <c r="G37" i="73"/>
  <c r="G39" i="73"/>
  <c r="G40" i="73"/>
  <c r="G43" i="73"/>
  <c r="G44" i="73"/>
  <c r="G46" i="73"/>
  <c r="G48" i="73"/>
  <c r="G49" i="73"/>
  <c r="G50" i="73"/>
  <c r="G51" i="73"/>
  <c r="G52" i="73"/>
  <c r="G53" i="73"/>
  <c r="G54" i="73"/>
  <c r="G55" i="73"/>
  <c r="G6" i="73"/>
  <c r="D56" i="73"/>
  <c r="N56" i="108" s="1"/>
  <c r="E56" i="73"/>
  <c r="O56" i="108" s="1"/>
  <c r="S56" i="109" s="1"/>
  <c r="F56" i="73"/>
  <c r="P56" i="108" s="1"/>
  <c r="H56" i="73"/>
  <c r="I56" i="73"/>
  <c r="J56" i="73"/>
  <c r="K56" i="73"/>
  <c r="C56" i="73"/>
  <c r="D47" i="73"/>
  <c r="N47" i="108" s="1"/>
  <c r="R47" i="109" s="1"/>
  <c r="E47" i="73"/>
  <c r="O47" i="108" s="1"/>
  <c r="S47" i="109" s="1"/>
  <c r="F47" i="73"/>
  <c r="H47" i="73"/>
  <c r="I47" i="73"/>
  <c r="L47" i="73" s="1"/>
  <c r="J47" i="73"/>
  <c r="K47" i="73"/>
  <c r="C47" i="73"/>
  <c r="M47" i="108" s="1"/>
  <c r="Q47" i="109" s="1"/>
  <c r="D45" i="73"/>
  <c r="E45" i="73"/>
  <c r="O45" i="108" s="1"/>
  <c r="S45" i="109" s="1"/>
  <c r="F45" i="73"/>
  <c r="P45" i="108" s="1"/>
  <c r="T45" i="109" s="1"/>
  <c r="H45" i="73"/>
  <c r="I45" i="73"/>
  <c r="J45" i="73"/>
  <c r="K45" i="73"/>
  <c r="C45" i="73"/>
  <c r="M45" i="108" s="1"/>
  <c r="Q45" i="109" s="1"/>
  <c r="D41" i="73"/>
  <c r="N41" i="108" s="1"/>
  <c r="E41" i="73"/>
  <c r="O41" i="108" s="1"/>
  <c r="S41" i="109" s="1"/>
  <c r="F41" i="73"/>
  <c r="P41" i="108" s="1"/>
  <c r="T41" i="109" s="1"/>
  <c r="H41" i="73"/>
  <c r="I41" i="73"/>
  <c r="L41" i="73" s="1"/>
  <c r="J41" i="73"/>
  <c r="K41" i="73"/>
  <c r="C41" i="73"/>
  <c r="M41" i="108" s="1"/>
  <c r="D18" i="73"/>
  <c r="N18" i="108" s="1"/>
  <c r="R18" i="109" s="1"/>
  <c r="E18" i="73"/>
  <c r="O18" i="108" s="1"/>
  <c r="S18" i="109" s="1"/>
  <c r="F18" i="73"/>
  <c r="H18" i="73"/>
  <c r="I18" i="73"/>
  <c r="J18" i="73"/>
  <c r="K18" i="73"/>
  <c r="C18" i="73"/>
  <c r="M18" i="108" s="1"/>
  <c r="Q18" i="109" s="1"/>
  <c r="O7" i="103"/>
  <c r="O8" i="103"/>
  <c r="O9" i="103"/>
  <c r="O10" i="103"/>
  <c r="O11" i="103"/>
  <c r="O12" i="103"/>
  <c r="O13" i="103"/>
  <c r="O14" i="103"/>
  <c r="O15" i="103"/>
  <c r="O16" i="103"/>
  <c r="O17" i="103"/>
  <c r="O19" i="103"/>
  <c r="O20" i="103"/>
  <c r="O21" i="103"/>
  <c r="O22" i="103"/>
  <c r="O23" i="103"/>
  <c r="O24" i="103"/>
  <c r="O25" i="103"/>
  <c r="O26" i="103"/>
  <c r="O27" i="103"/>
  <c r="O28" i="103"/>
  <c r="O29" i="103"/>
  <c r="O30" i="103"/>
  <c r="O31" i="103"/>
  <c r="O32" i="103"/>
  <c r="O33" i="103"/>
  <c r="O34" i="103"/>
  <c r="O35" i="103"/>
  <c r="O36" i="103"/>
  <c r="O37" i="103"/>
  <c r="O38" i="103"/>
  <c r="O39" i="103"/>
  <c r="O40" i="103"/>
  <c r="O43" i="103"/>
  <c r="O44" i="103"/>
  <c r="O46" i="103"/>
  <c r="O48" i="103"/>
  <c r="O49" i="103"/>
  <c r="O50" i="103"/>
  <c r="O51" i="103"/>
  <c r="O52" i="103"/>
  <c r="O53" i="103"/>
  <c r="O54" i="103"/>
  <c r="O55" i="103"/>
  <c r="O6" i="103"/>
  <c r="L46" i="105"/>
  <c r="H27" i="103"/>
  <c r="G27" i="103"/>
  <c r="H13" i="103"/>
  <c r="G13" i="103"/>
  <c r="L9" i="105"/>
  <c r="H23" i="7"/>
  <c r="E23" i="7"/>
  <c r="L57" i="108" l="1"/>
  <c r="G45" i="73"/>
  <c r="N45" i="108"/>
  <c r="R45" i="109" s="1"/>
  <c r="U45" i="109" s="1"/>
  <c r="H42" i="73"/>
  <c r="M56" i="108"/>
  <c r="Q56" i="109" s="1"/>
  <c r="Q41" i="108"/>
  <c r="L45" i="73"/>
  <c r="G47" i="73"/>
  <c r="P47" i="108"/>
  <c r="P57" i="93"/>
  <c r="Q57" i="93" s="1"/>
  <c r="Q56" i="108"/>
  <c r="T56" i="109"/>
  <c r="F42" i="73"/>
  <c r="P42" i="108" s="1"/>
  <c r="P18" i="108"/>
  <c r="Q57" i="71"/>
  <c r="L56" i="73"/>
  <c r="R56" i="109"/>
  <c r="R41" i="109"/>
  <c r="U41" i="109" s="1"/>
  <c r="D42" i="73"/>
  <c r="N42" i="108" s="1"/>
  <c r="D57" i="73"/>
  <c r="N57" i="108" s="1"/>
  <c r="G41" i="73"/>
  <c r="C42" i="73"/>
  <c r="Q41" i="109"/>
  <c r="L18" i="73"/>
  <c r="J42" i="73"/>
  <c r="J57" i="73" s="1"/>
  <c r="K42" i="73"/>
  <c r="E42" i="73"/>
  <c r="H57" i="73"/>
  <c r="I42" i="73"/>
  <c r="I57" i="73" s="1"/>
  <c r="G56" i="73"/>
  <c r="G18" i="73"/>
  <c r="F57" i="73"/>
  <c r="L42" i="73" l="1"/>
  <c r="Q47" i="108"/>
  <c r="T47" i="109"/>
  <c r="U47" i="109" s="1"/>
  <c r="C57" i="73"/>
  <c r="M57" i="108" s="1"/>
  <c r="Q57" i="109" s="1"/>
  <c r="M42" i="108"/>
  <c r="Q45" i="108"/>
  <c r="G42" i="73"/>
  <c r="U56" i="109"/>
  <c r="E57" i="73"/>
  <c r="O57" i="108" s="1"/>
  <c r="S57" i="109" s="1"/>
  <c r="O42" i="108"/>
  <c r="S42" i="109" s="1"/>
  <c r="T18" i="109"/>
  <c r="U18" i="109" s="1"/>
  <c r="Q18" i="108"/>
  <c r="G57" i="73"/>
  <c r="P57" i="108"/>
  <c r="T42" i="109"/>
  <c r="Q42" i="108"/>
  <c r="K57" i="73"/>
  <c r="L57" i="73" s="1"/>
  <c r="Q57" i="108" l="1"/>
  <c r="T57" i="109"/>
  <c r="R57" i="109"/>
  <c r="H7" i="103"/>
  <c r="G7" i="103"/>
  <c r="M7" i="103" s="1"/>
  <c r="H16" i="103"/>
  <c r="H18" i="103" s="1"/>
  <c r="M50" i="104"/>
  <c r="M54" i="104"/>
  <c r="P7" i="105"/>
  <c r="P8" i="105"/>
  <c r="P9" i="105"/>
  <c r="P10" i="105"/>
  <c r="P11" i="105"/>
  <c r="P12" i="105"/>
  <c r="P13" i="105"/>
  <c r="P14" i="105"/>
  <c r="P15" i="105"/>
  <c r="P16" i="105"/>
  <c r="P17" i="105"/>
  <c r="P19" i="105"/>
  <c r="P20" i="105"/>
  <c r="P21" i="105"/>
  <c r="P22" i="105"/>
  <c r="P23" i="105"/>
  <c r="P24" i="105"/>
  <c r="P25" i="105"/>
  <c r="P26" i="105"/>
  <c r="P27" i="105"/>
  <c r="P28" i="105"/>
  <c r="P29" i="105"/>
  <c r="P30" i="105"/>
  <c r="P31" i="105"/>
  <c r="P32" i="105"/>
  <c r="P33" i="105"/>
  <c r="P34" i="105"/>
  <c r="P35" i="105"/>
  <c r="P36" i="105"/>
  <c r="P37" i="105"/>
  <c r="P38" i="105"/>
  <c r="P39" i="105"/>
  <c r="P40" i="105"/>
  <c r="P43" i="105"/>
  <c r="P44" i="105"/>
  <c r="P46" i="105"/>
  <c r="P48" i="105"/>
  <c r="P49" i="105"/>
  <c r="P50" i="105"/>
  <c r="P51" i="105"/>
  <c r="P52" i="105"/>
  <c r="P53" i="105"/>
  <c r="P54" i="105"/>
  <c r="P55" i="105"/>
  <c r="P6" i="105"/>
  <c r="D56" i="105"/>
  <c r="E56" i="105"/>
  <c r="F56" i="105"/>
  <c r="G56" i="105"/>
  <c r="H56" i="105"/>
  <c r="I56" i="105"/>
  <c r="J56" i="105"/>
  <c r="K56" i="105"/>
  <c r="L56" i="105"/>
  <c r="C56" i="105"/>
  <c r="D47" i="105"/>
  <c r="E47" i="105"/>
  <c r="F47" i="105"/>
  <c r="N47" i="105" s="1"/>
  <c r="K47" i="85" s="1"/>
  <c r="G47" i="105"/>
  <c r="H47" i="105"/>
  <c r="I47" i="105"/>
  <c r="J47" i="105"/>
  <c r="K47" i="105"/>
  <c r="L47" i="105"/>
  <c r="C47" i="105"/>
  <c r="D45" i="105"/>
  <c r="E45" i="105"/>
  <c r="F45" i="105"/>
  <c r="G45" i="105"/>
  <c r="H45" i="105"/>
  <c r="I45" i="105"/>
  <c r="J45" i="105"/>
  <c r="K45" i="105"/>
  <c r="L45" i="105"/>
  <c r="C45" i="105"/>
  <c r="D41" i="105"/>
  <c r="E41" i="105"/>
  <c r="F41" i="105"/>
  <c r="G41" i="105"/>
  <c r="H41" i="105"/>
  <c r="I41" i="105"/>
  <c r="J41" i="105"/>
  <c r="J42" i="105" s="1"/>
  <c r="K41" i="105"/>
  <c r="K42" i="105" s="1"/>
  <c r="K57" i="105" s="1"/>
  <c r="L41" i="105"/>
  <c r="C41" i="105"/>
  <c r="D18" i="105"/>
  <c r="E18" i="105"/>
  <c r="F18" i="105"/>
  <c r="G18" i="105"/>
  <c r="H18" i="105"/>
  <c r="I18" i="105"/>
  <c r="J18" i="105"/>
  <c r="K18" i="105"/>
  <c r="L18" i="105"/>
  <c r="C18" i="105"/>
  <c r="M7" i="105"/>
  <c r="N7" i="105"/>
  <c r="M8" i="105"/>
  <c r="N8" i="105"/>
  <c r="K8" i="85" s="1"/>
  <c r="M9" i="105"/>
  <c r="N9" i="105"/>
  <c r="K9" i="85" s="1"/>
  <c r="M10" i="105"/>
  <c r="N10" i="105"/>
  <c r="K10" i="85" s="1"/>
  <c r="M11" i="105"/>
  <c r="N11" i="105"/>
  <c r="K11" i="85" s="1"/>
  <c r="M12" i="105"/>
  <c r="N12" i="105"/>
  <c r="K12" i="85" s="1"/>
  <c r="M13" i="105"/>
  <c r="N13" i="105"/>
  <c r="K13" i="85" s="1"/>
  <c r="M14" i="105"/>
  <c r="N14" i="105"/>
  <c r="K14" i="85" s="1"/>
  <c r="M15" i="105"/>
  <c r="N15" i="105"/>
  <c r="K15" i="85" s="1"/>
  <c r="M16" i="105"/>
  <c r="N16" i="105"/>
  <c r="K16" i="85" s="1"/>
  <c r="M17" i="105"/>
  <c r="N17" i="105"/>
  <c r="K17" i="85" s="1"/>
  <c r="M19" i="105"/>
  <c r="N19" i="105"/>
  <c r="K19" i="85" s="1"/>
  <c r="M20" i="105"/>
  <c r="N20" i="105"/>
  <c r="K20" i="85" s="1"/>
  <c r="M21" i="105"/>
  <c r="N21" i="105"/>
  <c r="K21" i="85" s="1"/>
  <c r="M22" i="105"/>
  <c r="N22" i="105"/>
  <c r="K22" i="85" s="1"/>
  <c r="M23" i="105"/>
  <c r="N23" i="105"/>
  <c r="K23" i="85" s="1"/>
  <c r="M24" i="105"/>
  <c r="N24" i="105"/>
  <c r="K24" i="85" s="1"/>
  <c r="M25" i="105"/>
  <c r="N25" i="105"/>
  <c r="K25" i="85" s="1"/>
  <c r="M26" i="105"/>
  <c r="N26" i="105"/>
  <c r="K26" i="85" s="1"/>
  <c r="M27" i="105"/>
  <c r="N27" i="105"/>
  <c r="K27" i="85" s="1"/>
  <c r="M28" i="105"/>
  <c r="N28" i="105"/>
  <c r="K28" i="85" s="1"/>
  <c r="M29" i="105"/>
  <c r="N29" i="105"/>
  <c r="K29" i="85" s="1"/>
  <c r="M30" i="105"/>
  <c r="N30" i="105"/>
  <c r="K30" i="85" s="1"/>
  <c r="M31" i="105"/>
  <c r="N31" i="105"/>
  <c r="K31" i="85" s="1"/>
  <c r="M32" i="105"/>
  <c r="N32" i="105"/>
  <c r="K32" i="85" s="1"/>
  <c r="M33" i="105"/>
  <c r="N33" i="105"/>
  <c r="K33" i="85" s="1"/>
  <c r="M34" i="105"/>
  <c r="N34" i="105"/>
  <c r="K34" i="85" s="1"/>
  <c r="M35" i="105"/>
  <c r="N35" i="105"/>
  <c r="K35" i="85" s="1"/>
  <c r="M36" i="105"/>
  <c r="N36" i="105"/>
  <c r="K36" i="85" s="1"/>
  <c r="M37" i="105"/>
  <c r="N37" i="105"/>
  <c r="K37" i="85" s="1"/>
  <c r="M38" i="105"/>
  <c r="N38" i="105"/>
  <c r="K38" i="85" s="1"/>
  <c r="M39" i="105"/>
  <c r="N39" i="105"/>
  <c r="K39" i="85" s="1"/>
  <c r="M40" i="105"/>
  <c r="N40" i="105"/>
  <c r="K40" i="85" s="1"/>
  <c r="M43" i="105"/>
  <c r="N43" i="105"/>
  <c r="K43" i="85" s="1"/>
  <c r="M44" i="105"/>
  <c r="N44" i="105"/>
  <c r="K44" i="85" s="1"/>
  <c r="M46" i="105"/>
  <c r="N46" i="105"/>
  <c r="K46" i="85" s="1"/>
  <c r="M48" i="105"/>
  <c r="N48" i="105"/>
  <c r="K48" i="85" s="1"/>
  <c r="M49" i="105"/>
  <c r="N49" i="105"/>
  <c r="K49" i="85" s="1"/>
  <c r="M50" i="105"/>
  <c r="N50" i="105"/>
  <c r="K50" i="85" s="1"/>
  <c r="M51" i="105"/>
  <c r="N51" i="105"/>
  <c r="K51" i="85" s="1"/>
  <c r="M52" i="105"/>
  <c r="N52" i="105"/>
  <c r="K52" i="85" s="1"/>
  <c r="M53" i="105"/>
  <c r="N53" i="105"/>
  <c r="K53" i="85" s="1"/>
  <c r="M54" i="105"/>
  <c r="N54" i="105"/>
  <c r="K54" i="85" s="1"/>
  <c r="M55" i="105"/>
  <c r="N55" i="105"/>
  <c r="K55" i="85" s="1"/>
  <c r="N6" i="105"/>
  <c r="K6" i="85" s="1"/>
  <c r="M6" i="105"/>
  <c r="D56" i="107"/>
  <c r="E56" i="107"/>
  <c r="E57" i="107" s="1"/>
  <c r="F56" i="107"/>
  <c r="K56" i="78" s="1"/>
  <c r="G56" i="107"/>
  <c r="G57" i="107" s="1"/>
  <c r="H56" i="107"/>
  <c r="H56" i="78" s="1"/>
  <c r="I56" i="107"/>
  <c r="J56" i="107"/>
  <c r="K56" i="107"/>
  <c r="L56" i="107"/>
  <c r="M56" i="107"/>
  <c r="N56" i="107"/>
  <c r="C56" i="107"/>
  <c r="D47" i="107"/>
  <c r="E47" i="107"/>
  <c r="F47" i="107"/>
  <c r="K47" i="78" s="1"/>
  <c r="G47" i="107"/>
  <c r="H47" i="107"/>
  <c r="H47" i="78" s="1"/>
  <c r="I47" i="107"/>
  <c r="J47" i="107"/>
  <c r="K47" i="107"/>
  <c r="L47" i="107"/>
  <c r="M47" i="107"/>
  <c r="N47" i="107"/>
  <c r="C47" i="107"/>
  <c r="D45" i="107"/>
  <c r="E45" i="107"/>
  <c r="F45" i="107"/>
  <c r="K45" i="78" s="1"/>
  <c r="G45" i="107"/>
  <c r="H45" i="107"/>
  <c r="H45" i="78" s="1"/>
  <c r="I45" i="107"/>
  <c r="J45" i="107"/>
  <c r="K45" i="107"/>
  <c r="L45" i="107"/>
  <c r="M45" i="107"/>
  <c r="N45" i="107"/>
  <c r="C45" i="107"/>
  <c r="D42" i="107"/>
  <c r="E42" i="107"/>
  <c r="G42" i="107"/>
  <c r="D41" i="107"/>
  <c r="E41" i="107"/>
  <c r="F41" i="107"/>
  <c r="K41" i="78" s="1"/>
  <c r="G41" i="107"/>
  <c r="H41" i="107"/>
  <c r="I41" i="107"/>
  <c r="I42" i="107" s="1"/>
  <c r="J41" i="107"/>
  <c r="J42" i="107" s="1"/>
  <c r="K41" i="107"/>
  <c r="K42" i="107" s="1"/>
  <c r="L41" i="107"/>
  <c r="L42" i="107" s="1"/>
  <c r="M41" i="107"/>
  <c r="M42" i="107" s="1"/>
  <c r="N41" i="107"/>
  <c r="N42" i="107" s="1"/>
  <c r="C41" i="107"/>
  <c r="C42" i="107" s="1"/>
  <c r="D18" i="107"/>
  <c r="E18" i="107"/>
  <c r="F18" i="107"/>
  <c r="K18" i="78" s="1"/>
  <c r="G18" i="107"/>
  <c r="H18" i="107"/>
  <c r="H18" i="78" s="1"/>
  <c r="I18" i="107"/>
  <c r="J18" i="107"/>
  <c r="K18" i="107"/>
  <c r="L18" i="107"/>
  <c r="M18" i="107"/>
  <c r="N18" i="107"/>
  <c r="C18" i="107"/>
  <c r="P52" i="107"/>
  <c r="Q52" i="107" s="1"/>
  <c r="O6" i="107"/>
  <c r="E6" i="15" s="1"/>
  <c r="D56" i="103"/>
  <c r="E56" i="103"/>
  <c r="F56" i="103"/>
  <c r="Q56" i="103" s="1"/>
  <c r="R56" i="103" s="1"/>
  <c r="G56" i="103"/>
  <c r="H56" i="103"/>
  <c r="I56" i="103"/>
  <c r="J56" i="103"/>
  <c r="K56" i="103"/>
  <c r="L56" i="103"/>
  <c r="C56" i="103"/>
  <c r="D47" i="103"/>
  <c r="E47" i="103"/>
  <c r="F47" i="103"/>
  <c r="G47" i="103"/>
  <c r="H47" i="103"/>
  <c r="I47" i="103"/>
  <c r="J47" i="103"/>
  <c r="K47" i="103"/>
  <c r="L47" i="103"/>
  <c r="C47" i="103"/>
  <c r="D45" i="103"/>
  <c r="E45" i="103"/>
  <c r="F45" i="103"/>
  <c r="Q45" i="103" s="1"/>
  <c r="R45" i="103" s="1"/>
  <c r="G45" i="103"/>
  <c r="H45" i="103"/>
  <c r="I45" i="103"/>
  <c r="J45" i="103"/>
  <c r="K45" i="103"/>
  <c r="L45" i="103"/>
  <c r="C45" i="103"/>
  <c r="D41" i="103"/>
  <c r="E41" i="103"/>
  <c r="F41" i="103"/>
  <c r="Q41" i="103" s="1"/>
  <c r="R41" i="103" s="1"/>
  <c r="G41" i="103"/>
  <c r="H41" i="103"/>
  <c r="I41" i="103"/>
  <c r="J41" i="103"/>
  <c r="K41" i="103"/>
  <c r="L41" i="103"/>
  <c r="L42" i="103" s="1"/>
  <c r="L57" i="103" s="1"/>
  <c r="C41" i="103"/>
  <c r="D18" i="103"/>
  <c r="E18" i="103"/>
  <c r="F18" i="103"/>
  <c r="G18" i="103"/>
  <c r="I18" i="103"/>
  <c r="J18" i="103"/>
  <c r="J42" i="103" s="1"/>
  <c r="K18" i="103"/>
  <c r="L18" i="103"/>
  <c r="C18" i="103"/>
  <c r="N7" i="103"/>
  <c r="M8" i="103"/>
  <c r="O8" i="107" s="1"/>
  <c r="E8" i="15" s="1"/>
  <c r="N8" i="103"/>
  <c r="N8" i="78" s="1"/>
  <c r="M9" i="103"/>
  <c r="N9" i="103"/>
  <c r="N9" i="78" s="1"/>
  <c r="M10" i="103"/>
  <c r="N10" i="103"/>
  <c r="N10" i="78" s="1"/>
  <c r="M11" i="103"/>
  <c r="N11" i="103"/>
  <c r="N11" i="78" s="1"/>
  <c r="M12" i="103"/>
  <c r="O12" i="107" s="1"/>
  <c r="E12" i="15" s="1"/>
  <c r="N12" i="103"/>
  <c r="N12" i="78" s="1"/>
  <c r="M13" i="103"/>
  <c r="N13" i="103"/>
  <c r="M14" i="103"/>
  <c r="O14" i="107" s="1"/>
  <c r="E14" i="15" s="1"/>
  <c r="N14" i="103"/>
  <c r="M15" i="103"/>
  <c r="N15" i="103"/>
  <c r="N15" i="78" s="1"/>
  <c r="M16" i="103"/>
  <c r="O16" i="107" s="1"/>
  <c r="E16" i="15" s="1"/>
  <c r="M17" i="103"/>
  <c r="N17" i="103"/>
  <c r="N17" i="78" s="1"/>
  <c r="M19" i="103"/>
  <c r="N19" i="103"/>
  <c r="M20" i="103"/>
  <c r="N20" i="103"/>
  <c r="N20" i="78" s="1"/>
  <c r="M21" i="103"/>
  <c r="N21" i="103"/>
  <c r="N21" i="78" s="1"/>
  <c r="M22" i="103"/>
  <c r="N22" i="103"/>
  <c r="N22" i="78" s="1"/>
  <c r="M23" i="103"/>
  <c r="N23" i="103"/>
  <c r="N23" i="78" s="1"/>
  <c r="M24" i="103"/>
  <c r="N24" i="103"/>
  <c r="N24" i="78" s="1"/>
  <c r="M25" i="103"/>
  <c r="N25" i="103"/>
  <c r="N25" i="78" s="1"/>
  <c r="M26" i="103"/>
  <c r="N26" i="103"/>
  <c r="N26" i="78" s="1"/>
  <c r="M27" i="103"/>
  <c r="N27" i="103"/>
  <c r="N27" i="78" s="1"/>
  <c r="M28" i="103"/>
  <c r="N28" i="103"/>
  <c r="N28" i="78" s="1"/>
  <c r="M29" i="103"/>
  <c r="N29" i="103"/>
  <c r="N29" i="78" s="1"/>
  <c r="M30" i="103"/>
  <c r="N30" i="103"/>
  <c r="N30" i="78" s="1"/>
  <c r="M31" i="103"/>
  <c r="N31" i="103"/>
  <c r="N31" i="78" s="1"/>
  <c r="M32" i="103"/>
  <c r="N32" i="103"/>
  <c r="N32" i="78" s="1"/>
  <c r="M33" i="103"/>
  <c r="N33" i="103"/>
  <c r="N33" i="78" s="1"/>
  <c r="M34" i="103"/>
  <c r="N34" i="103"/>
  <c r="N34" i="78" s="1"/>
  <c r="M35" i="103"/>
  <c r="N35" i="103"/>
  <c r="N35" i="78" s="1"/>
  <c r="M36" i="103"/>
  <c r="N36" i="103"/>
  <c r="N36" i="78" s="1"/>
  <c r="M37" i="103"/>
  <c r="N37" i="103"/>
  <c r="N37" i="78" s="1"/>
  <c r="M38" i="103"/>
  <c r="N38" i="103"/>
  <c r="M39" i="103"/>
  <c r="N39" i="103"/>
  <c r="N39" i="78" s="1"/>
  <c r="M40" i="103"/>
  <c r="N40" i="103"/>
  <c r="N40" i="78" s="1"/>
  <c r="M43" i="103"/>
  <c r="N43" i="103"/>
  <c r="N43" i="78" s="1"/>
  <c r="M44" i="103"/>
  <c r="O44" i="107" s="1"/>
  <c r="E44" i="15" s="1"/>
  <c r="N44" i="103"/>
  <c r="N44" i="78" s="1"/>
  <c r="N45" i="103"/>
  <c r="N45" i="78" s="1"/>
  <c r="M46" i="103"/>
  <c r="O46" i="107" s="1"/>
  <c r="E46" i="15" s="1"/>
  <c r="E47" i="15" s="1"/>
  <c r="N46" i="103"/>
  <c r="N46" i="78" s="1"/>
  <c r="M48" i="103"/>
  <c r="N48" i="103"/>
  <c r="N48" i="78" s="1"/>
  <c r="M49" i="103"/>
  <c r="N49" i="103"/>
  <c r="M50" i="103"/>
  <c r="N50" i="103"/>
  <c r="N50" i="78" s="1"/>
  <c r="M51" i="103"/>
  <c r="O51" i="107" s="1"/>
  <c r="E51" i="15" s="1"/>
  <c r="N51" i="103"/>
  <c r="N51" i="78" s="1"/>
  <c r="M52" i="103"/>
  <c r="N52" i="103"/>
  <c r="N52" i="78" s="1"/>
  <c r="M53" i="103"/>
  <c r="O53" i="107" s="1"/>
  <c r="E53" i="15" s="1"/>
  <c r="N53" i="103"/>
  <c r="N53" i="78" s="1"/>
  <c r="M54" i="103"/>
  <c r="N54" i="103"/>
  <c r="N54" i="78" s="1"/>
  <c r="M55" i="103"/>
  <c r="O55" i="107" s="1"/>
  <c r="E55" i="15" s="1"/>
  <c r="N55" i="103"/>
  <c r="N55" i="78" s="1"/>
  <c r="N6" i="103"/>
  <c r="N6" i="78" s="1"/>
  <c r="M6" i="103"/>
  <c r="D56" i="104"/>
  <c r="E56" i="104"/>
  <c r="F56" i="104"/>
  <c r="G56" i="104"/>
  <c r="H56" i="104"/>
  <c r="I56" i="104"/>
  <c r="J56" i="104"/>
  <c r="C56" i="104"/>
  <c r="D47" i="104"/>
  <c r="E47" i="104"/>
  <c r="F47" i="104"/>
  <c r="G47" i="104"/>
  <c r="H47" i="104"/>
  <c r="I47" i="104"/>
  <c r="J47" i="104"/>
  <c r="C47" i="104"/>
  <c r="D45" i="104"/>
  <c r="E45" i="104"/>
  <c r="F45" i="104"/>
  <c r="G45" i="104"/>
  <c r="H45" i="104"/>
  <c r="I45" i="104"/>
  <c r="J45" i="104"/>
  <c r="L45" i="104" s="1"/>
  <c r="E45" i="78" s="1"/>
  <c r="C45" i="104"/>
  <c r="K45" i="104" s="1"/>
  <c r="D41" i="104"/>
  <c r="D42" i="104" s="1"/>
  <c r="E41" i="104"/>
  <c r="F41" i="104"/>
  <c r="F42" i="104" s="1"/>
  <c r="F57" i="104" s="1"/>
  <c r="G41" i="104"/>
  <c r="H41" i="104"/>
  <c r="I41" i="104"/>
  <c r="J41" i="104"/>
  <c r="C41" i="104"/>
  <c r="C42" i="104" s="1"/>
  <c r="D18" i="104"/>
  <c r="L18" i="104" s="1"/>
  <c r="E18" i="104"/>
  <c r="F18" i="104"/>
  <c r="G18" i="104"/>
  <c r="H18" i="104"/>
  <c r="H42" i="104" s="1"/>
  <c r="I18" i="104"/>
  <c r="J18" i="104"/>
  <c r="C18" i="104"/>
  <c r="K7" i="104"/>
  <c r="L7" i="104"/>
  <c r="E7" i="78" s="1"/>
  <c r="K8" i="104"/>
  <c r="L8" i="104"/>
  <c r="E8" i="78" s="1"/>
  <c r="K9" i="104"/>
  <c r="L9" i="104"/>
  <c r="E9" i="78" s="1"/>
  <c r="K10" i="104"/>
  <c r="L10" i="104"/>
  <c r="E10" i="78" s="1"/>
  <c r="K11" i="104"/>
  <c r="L11" i="104"/>
  <c r="E11" i="78" s="1"/>
  <c r="K12" i="104"/>
  <c r="L12" i="104"/>
  <c r="E12" i="78" s="1"/>
  <c r="K13" i="104"/>
  <c r="L13" i="104"/>
  <c r="E13" i="78" s="1"/>
  <c r="K14" i="104"/>
  <c r="L14" i="104"/>
  <c r="E14" i="78" s="1"/>
  <c r="K15" i="104"/>
  <c r="L15" i="104"/>
  <c r="E15" i="78" s="1"/>
  <c r="K16" i="104"/>
  <c r="L16" i="104"/>
  <c r="E16" i="78" s="1"/>
  <c r="K17" i="104"/>
  <c r="O17" i="107" s="1"/>
  <c r="E17" i="15" s="1"/>
  <c r="L17" i="104"/>
  <c r="E17" i="78" s="1"/>
  <c r="K19" i="104"/>
  <c r="L19" i="104"/>
  <c r="E19" i="78" s="1"/>
  <c r="K20" i="104"/>
  <c r="L20" i="104"/>
  <c r="E20" i="78" s="1"/>
  <c r="K21" i="104"/>
  <c r="L21" i="104"/>
  <c r="E21" i="78" s="1"/>
  <c r="K22" i="104"/>
  <c r="L22" i="104"/>
  <c r="E22" i="78" s="1"/>
  <c r="K23" i="104"/>
  <c r="L23" i="104"/>
  <c r="E23" i="78" s="1"/>
  <c r="K24" i="104"/>
  <c r="L24" i="104"/>
  <c r="M24" i="104" s="1"/>
  <c r="K25" i="104"/>
  <c r="L25" i="104"/>
  <c r="E25" i="78" s="1"/>
  <c r="K26" i="104"/>
  <c r="L26" i="104"/>
  <c r="E26" i="78" s="1"/>
  <c r="K27" i="104"/>
  <c r="L27" i="104"/>
  <c r="E27" i="78" s="1"/>
  <c r="K28" i="104"/>
  <c r="L28" i="104"/>
  <c r="E28" i="78" s="1"/>
  <c r="K29" i="104"/>
  <c r="L29" i="104"/>
  <c r="E29" i="78" s="1"/>
  <c r="K30" i="104"/>
  <c r="L30" i="104"/>
  <c r="E30" i="78" s="1"/>
  <c r="K31" i="104"/>
  <c r="L31" i="104"/>
  <c r="E31" i="78" s="1"/>
  <c r="K32" i="104"/>
  <c r="L32" i="104"/>
  <c r="E32" i="78" s="1"/>
  <c r="K33" i="104"/>
  <c r="L33" i="104"/>
  <c r="E33" i="78" s="1"/>
  <c r="K34" i="104"/>
  <c r="L34" i="104"/>
  <c r="E34" i="78" s="1"/>
  <c r="K35" i="104"/>
  <c r="L35" i="104"/>
  <c r="E35" i="78" s="1"/>
  <c r="K36" i="104"/>
  <c r="L36" i="104"/>
  <c r="E36" i="78" s="1"/>
  <c r="K37" i="104"/>
  <c r="L37" i="104"/>
  <c r="E37" i="78" s="1"/>
  <c r="K38" i="104"/>
  <c r="L38" i="104"/>
  <c r="M38" i="104" s="1"/>
  <c r="K39" i="104"/>
  <c r="L39" i="104"/>
  <c r="E39" i="78" s="1"/>
  <c r="K40" i="104"/>
  <c r="O40" i="107" s="1"/>
  <c r="E40" i="15" s="1"/>
  <c r="L40" i="104"/>
  <c r="E40" i="78" s="1"/>
  <c r="K43" i="104"/>
  <c r="L43" i="104"/>
  <c r="E43" i="78" s="1"/>
  <c r="K44" i="104"/>
  <c r="L44" i="104"/>
  <c r="E44" i="78" s="1"/>
  <c r="K46" i="104"/>
  <c r="L46" i="104"/>
  <c r="E46" i="78" s="1"/>
  <c r="K48" i="104"/>
  <c r="L48" i="104"/>
  <c r="E48" i="78" s="1"/>
  <c r="K49" i="104"/>
  <c r="L49" i="104"/>
  <c r="K50" i="104"/>
  <c r="L50" i="104"/>
  <c r="E50" i="78" s="1"/>
  <c r="K51" i="104"/>
  <c r="L51" i="104"/>
  <c r="E51" i="78" s="1"/>
  <c r="K52" i="104"/>
  <c r="L52" i="104"/>
  <c r="E52" i="78" s="1"/>
  <c r="K53" i="104"/>
  <c r="L53" i="104"/>
  <c r="E53" i="78" s="1"/>
  <c r="K54" i="104"/>
  <c r="L54" i="104"/>
  <c r="E54" i="78" s="1"/>
  <c r="K55" i="104"/>
  <c r="L55" i="104"/>
  <c r="E55" i="78" s="1"/>
  <c r="L56" i="104"/>
  <c r="E56" i="78" s="1"/>
  <c r="L6" i="104"/>
  <c r="E6" i="78" s="1"/>
  <c r="K6" i="104"/>
  <c r="E18" i="78" l="1"/>
  <c r="M49" i="104"/>
  <c r="E49" i="78"/>
  <c r="C57" i="104"/>
  <c r="P33" i="107"/>
  <c r="I57" i="107"/>
  <c r="M39" i="104"/>
  <c r="M35" i="104"/>
  <c r="M31" i="104"/>
  <c r="M27" i="104"/>
  <c r="M23" i="104"/>
  <c r="M19" i="104"/>
  <c r="M15" i="104"/>
  <c r="M11" i="104"/>
  <c r="M7" i="104"/>
  <c r="K18" i="104"/>
  <c r="G42" i="104"/>
  <c r="O43" i="107"/>
  <c r="E43" i="15" s="1"/>
  <c r="E45" i="15" s="1"/>
  <c r="O35" i="107"/>
  <c r="E35" i="15" s="1"/>
  <c r="O31" i="107"/>
  <c r="E31" i="15" s="1"/>
  <c r="O27" i="107"/>
  <c r="E27" i="15" s="1"/>
  <c r="O23" i="107"/>
  <c r="E23" i="15" s="1"/>
  <c r="O19" i="107"/>
  <c r="E19" i="15" s="1"/>
  <c r="E41" i="15" s="1"/>
  <c r="K42" i="103"/>
  <c r="P31" i="107"/>
  <c r="M53" i="104"/>
  <c r="M48" i="104"/>
  <c r="M44" i="104"/>
  <c r="M34" i="104"/>
  <c r="M30" i="104"/>
  <c r="M26" i="104"/>
  <c r="M22" i="104"/>
  <c r="M14" i="104"/>
  <c r="M10" i="104"/>
  <c r="K47" i="104"/>
  <c r="P19" i="107"/>
  <c r="F42" i="103"/>
  <c r="Q18" i="103"/>
  <c r="R18" i="103" s="1"/>
  <c r="P46" i="107"/>
  <c r="M57" i="107"/>
  <c r="M45" i="105"/>
  <c r="O39" i="107"/>
  <c r="E39" i="15" s="1"/>
  <c r="O37" i="107"/>
  <c r="E37" i="15" s="1"/>
  <c r="O33" i="107"/>
  <c r="E33" i="15" s="1"/>
  <c r="O29" i="107"/>
  <c r="E29" i="15" s="1"/>
  <c r="O25" i="107"/>
  <c r="E25" i="15" s="1"/>
  <c r="O21" i="107"/>
  <c r="E21" i="15" s="1"/>
  <c r="O47" i="103"/>
  <c r="P39" i="107"/>
  <c r="P12" i="107"/>
  <c r="L57" i="107"/>
  <c r="D57" i="107"/>
  <c r="O10" i="107"/>
  <c r="E10" i="15" s="1"/>
  <c r="K41" i="104"/>
  <c r="O54" i="107"/>
  <c r="E54" i="15" s="1"/>
  <c r="O52" i="107"/>
  <c r="E52" i="15" s="1"/>
  <c r="O48" i="107"/>
  <c r="E48" i="15" s="1"/>
  <c r="O15" i="107"/>
  <c r="E15" i="15" s="1"/>
  <c r="O13" i="107"/>
  <c r="E13" i="15" s="1"/>
  <c r="O11" i="107"/>
  <c r="E11" i="15" s="1"/>
  <c r="O9" i="107"/>
  <c r="E9" i="15" s="1"/>
  <c r="P54" i="107"/>
  <c r="P50" i="107"/>
  <c r="O50" i="105" s="1"/>
  <c r="P37" i="107"/>
  <c r="P29" i="107"/>
  <c r="P10" i="107"/>
  <c r="H42" i="107"/>
  <c r="H42" i="78" s="1"/>
  <c r="H41" i="78"/>
  <c r="C57" i="107"/>
  <c r="K57" i="107"/>
  <c r="G42" i="105"/>
  <c r="G57" i="105" s="1"/>
  <c r="I42" i="105"/>
  <c r="M47" i="105"/>
  <c r="M6" i="104"/>
  <c r="M52" i="104"/>
  <c r="M43" i="104"/>
  <c r="M37" i="104"/>
  <c r="M33" i="104"/>
  <c r="M29" i="104"/>
  <c r="M25" i="104"/>
  <c r="M21" i="104"/>
  <c r="M17" i="104"/>
  <c r="M13" i="104"/>
  <c r="M9" i="104"/>
  <c r="O7" i="107"/>
  <c r="E7" i="15" s="1"/>
  <c r="E18" i="15" s="1"/>
  <c r="E42" i="104"/>
  <c r="L41" i="104"/>
  <c r="E41" i="78" s="1"/>
  <c r="J42" i="104"/>
  <c r="J57" i="104" s="1"/>
  <c r="L47" i="104"/>
  <c r="H57" i="104"/>
  <c r="D57" i="104"/>
  <c r="O38" i="107"/>
  <c r="E38" i="15" s="1"/>
  <c r="O36" i="107"/>
  <c r="E36" i="15" s="1"/>
  <c r="O34" i="107"/>
  <c r="E34" i="15" s="1"/>
  <c r="O32" i="107"/>
  <c r="E32" i="15" s="1"/>
  <c r="O30" i="107"/>
  <c r="E30" i="15" s="1"/>
  <c r="O28" i="107"/>
  <c r="E28" i="15" s="1"/>
  <c r="O26" i="107"/>
  <c r="E26" i="15" s="1"/>
  <c r="O24" i="107"/>
  <c r="E24" i="15" s="1"/>
  <c r="O22" i="107"/>
  <c r="E22" i="15" s="1"/>
  <c r="O20" i="107"/>
  <c r="E20" i="15" s="1"/>
  <c r="C42" i="103"/>
  <c r="C57" i="103" s="1"/>
  <c r="I42" i="103"/>
  <c r="I57" i="103" s="1"/>
  <c r="E42" i="103"/>
  <c r="E57" i="103" s="1"/>
  <c r="N47" i="103"/>
  <c r="Q47" i="103"/>
  <c r="R47" i="103" s="1"/>
  <c r="P48" i="107"/>
  <c r="O48" i="105" s="1"/>
  <c r="P43" i="107"/>
  <c r="Q43" i="107" s="1"/>
  <c r="P35" i="107"/>
  <c r="F35" i="15" s="1"/>
  <c r="G35" i="15" s="1"/>
  <c r="P27" i="107"/>
  <c r="F27" i="15" s="1"/>
  <c r="G27" i="15" s="1"/>
  <c r="F42" i="107"/>
  <c r="K42" i="78" s="1"/>
  <c r="N57" i="107"/>
  <c r="J57" i="107"/>
  <c r="F57" i="107"/>
  <c r="K57" i="78" s="1"/>
  <c r="N41" i="105"/>
  <c r="K41" i="85" s="1"/>
  <c r="N45" i="105"/>
  <c r="K45" i="85" s="1"/>
  <c r="M55" i="104"/>
  <c r="M51" i="104"/>
  <c r="M46" i="104"/>
  <c r="M40" i="104"/>
  <c r="M36" i="104"/>
  <c r="M32" i="104"/>
  <c r="M28" i="104"/>
  <c r="M20" i="104"/>
  <c r="M16" i="104"/>
  <c r="M12" i="104"/>
  <c r="M8" i="104"/>
  <c r="N47" i="78"/>
  <c r="P47" i="107"/>
  <c r="O47" i="105" s="1"/>
  <c r="F37" i="15"/>
  <c r="G37" i="15" s="1"/>
  <c r="F33" i="15"/>
  <c r="G33" i="15" s="1"/>
  <c r="F31" i="15"/>
  <c r="G31" i="15" s="1"/>
  <c r="F29" i="15"/>
  <c r="G29" i="15" s="1"/>
  <c r="F12" i="15"/>
  <c r="G12" i="15" s="1"/>
  <c r="F10" i="15"/>
  <c r="G10" i="15" s="1"/>
  <c r="Q10" i="107"/>
  <c r="O37" i="105"/>
  <c r="O33" i="105"/>
  <c r="O29" i="105"/>
  <c r="O10" i="105"/>
  <c r="O50" i="107"/>
  <c r="E50" i="15" s="1"/>
  <c r="P49" i="107"/>
  <c r="O49" i="105" s="1"/>
  <c r="N49" i="78"/>
  <c r="P38" i="107"/>
  <c r="N38" i="78"/>
  <c r="P13" i="107"/>
  <c r="O13" i="105" s="1"/>
  <c r="N13" i="78"/>
  <c r="P7" i="107"/>
  <c r="N7" i="78"/>
  <c r="K57" i="103"/>
  <c r="F54" i="15"/>
  <c r="G54" i="15" s="1"/>
  <c r="F52" i="15"/>
  <c r="G52" i="15" s="1"/>
  <c r="F46" i="15"/>
  <c r="F43" i="15"/>
  <c r="F39" i="15"/>
  <c r="G39" i="15" s="1"/>
  <c r="P26" i="107"/>
  <c r="P24" i="107"/>
  <c r="P22" i="107"/>
  <c r="P20" i="107"/>
  <c r="P9" i="107"/>
  <c r="P45" i="107"/>
  <c r="Q46" i="107"/>
  <c r="Q35" i="107"/>
  <c r="Q31" i="107"/>
  <c r="O54" i="105"/>
  <c r="O43" i="105"/>
  <c r="J57" i="103"/>
  <c r="P6" i="107"/>
  <c r="F48" i="15"/>
  <c r="P36" i="107"/>
  <c r="P34" i="107"/>
  <c r="P32" i="107"/>
  <c r="P30" i="107"/>
  <c r="P28" i="107"/>
  <c r="P15" i="107"/>
  <c r="P11" i="107"/>
  <c r="Q54" i="107"/>
  <c r="Q39" i="107"/>
  <c r="Q12" i="107"/>
  <c r="O46" i="105"/>
  <c r="O35" i="105"/>
  <c r="O31" i="105"/>
  <c r="O12" i="105"/>
  <c r="O49" i="107"/>
  <c r="E49" i="15" s="1"/>
  <c r="E56" i="15" s="1"/>
  <c r="N16" i="103"/>
  <c r="P14" i="107"/>
  <c r="O14" i="105" s="1"/>
  <c r="N14" i="78"/>
  <c r="M45" i="103"/>
  <c r="O45" i="107" s="1"/>
  <c r="P55" i="107"/>
  <c r="P53" i="107"/>
  <c r="P51" i="107"/>
  <c r="P44" i="107"/>
  <c r="P40" i="107"/>
  <c r="P25" i="107"/>
  <c r="P23" i="107"/>
  <c r="P21" i="107"/>
  <c r="P17" i="107"/>
  <c r="P8" i="107"/>
  <c r="O52" i="105"/>
  <c r="Q48" i="107"/>
  <c r="Q37" i="107"/>
  <c r="Q33" i="107"/>
  <c r="Q29" i="107"/>
  <c r="O39" i="105"/>
  <c r="D42" i="103"/>
  <c r="G42" i="103"/>
  <c r="N19" i="78"/>
  <c r="K7" i="85"/>
  <c r="I42" i="104"/>
  <c r="U57" i="109"/>
  <c r="M56" i="105"/>
  <c r="I57" i="105"/>
  <c r="N56" i="103"/>
  <c r="G57" i="103"/>
  <c r="M56" i="103"/>
  <c r="J57" i="105"/>
  <c r="N56" i="105"/>
  <c r="K56" i="85" s="1"/>
  <c r="M41" i="105"/>
  <c r="C42" i="105"/>
  <c r="C57" i="105" s="1"/>
  <c r="H42" i="105"/>
  <c r="H57" i="105" s="1"/>
  <c r="D42" i="105"/>
  <c r="D57" i="105" s="1"/>
  <c r="N41" i="103"/>
  <c r="H42" i="103"/>
  <c r="H57" i="103" s="1"/>
  <c r="O19" i="105"/>
  <c r="M41" i="103"/>
  <c r="O41" i="107" s="1"/>
  <c r="L42" i="105"/>
  <c r="L57" i="105" s="1"/>
  <c r="K56" i="104"/>
  <c r="G57" i="104"/>
  <c r="E57" i="104"/>
  <c r="N18" i="105"/>
  <c r="K18" i="85" s="1"/>
  <c r="M18" i="105"/>
  <c r="F42" i="105"/>
  <c r="F57" i="105" s="1"/>
  <c r="E42" i="105"/>
  <c r="E57" i="105" s="1"/>
  <c r="M18" i="103"/>
  <c r="O18" i="107" s="1"/>
  <c r="Q14" i="107"/>
  <c r="N18" i="103"/>
  <c r="M47" i="103"/>
  <c r="O47" i="107" s="1"/>
  <c r="N12" i="9"/>
  <c r="M13" i="9"/>
  <c r="M22" i="9"/>
  <c r="N55" i="9"/>
  <c r="K7" i="9"/>
  <c r="M7" i="9" s="1"/>
  <c r="L7" i="9"/>
  <c r="N7" i="9" s="1"/>
  <c r="K8" i="9"/>
  <c r="M8" i="9" s="1"/>
  <c r="L8" i="9"/>
  <c r="N8" i="9" s="1"/>
  <c r="K9" i="9"/>
  <c r="M9" i="9" s="1"/>
  <c r="L9" i="9"/>
  <c r="N9" i="9" s="1"/>
  <c r="K10" i="9"/>
  <c r="M10" i="9" s="1"/>
  <c r="L10" i="9"/>
  <c r="N10" i="9" s="1"/>
  <c r="K11" i="9"/>
  <c r="M11" i="9" s="1"/>
  <c r="L11" i="9"/>
  <c r="N11" i="9" s="1"/>
  <c r="K12" i="9"/>
  <c r="M12" i="9" s="1"/>
  <c r="L12" i="9"/>
  <c r="K13" i="9"/>
  <c r="L13" i="9"/>
  <c r="N13" i="9" s="1"/>
  <c r="K14" i="9"/>
  <c r="M14" i="9" s="1"/>
  <c r="L14" i="9"/>
  <c r="N14" i="9" s="1"/>
  <c r="K15" i="9"/>
  <c r="M15" i="9" s="1"/>
  <c r="L15" i="9"/>
  <c r="N15" i="9" s="1"/>
  <c r="K16" i="9"/>
  <c r="M16" i="9" s="1"/>
  <c r="L16" i="9"/>
  <c r="N16" i="9" s="1"/>
  <c r="K17" i="9"/>
  <c r="M17" i="9" s="1"/>
  <c r="L17" i="9"/>
  <c r="N17" i="9" s="1"/>
  <c r="K19" i="9"/>
  <c r="M19" i="9" s="1"/>
  <c r="L19" i="9"/>
  <c r="N19" i="9" s="1"/>
  <c r="K20" i="9"/>
  <c r="M20" i="9" s="1"/>
  <c r="L20" i="9"/>
  <c r="N20" i="9" s="1"/>
  <c r="K21" i="9"/>
  <c r="M21" i="9" s="1"/>
  <c r="L21" i="9"/>
  <c r="N21" i="9" s="1"/>
  <c r="K22" i="9"/>
  <c r="L22" i="9"/>
  <c r="N22" i="9" s="1"/>
  <c r="K23" i="9"/>
  <c r="M23" i="9" s="1"/>
  <c r="L23" i="9"/>
  <c r="N23" i="9" s="1"/>
  <c r="K24" i="9"/>
  <c r="M24" i="9" s="1"/>
  <c r="L24" i="9"/>
  <c r="N24" i="9" s="1"/>
  <c r="K25" i="9"/>
  <c r="M25" i="9" s="1"/>
  <c r="L25" i="9"/>
  <c r="N25" i="9" s="1"/>
  <c r="K26" i="9"/>
  <c r="M26" i="9" s="1"/>
  <c r="L26" i="9"/>
  <c r="N26" i="9" s="1"/>
  <c r="K27" i="9"/>
  <c r="M27" i="9" s="1"/>
  <c r="L27" i="9"/>
  <c r="N27" i="9" s="1"/>
  <c r="K28" i="9"/>
  <c r="M28" i="9" s="1"/>
  <c r="L28" i="9"/>
  <c r="N28" i="9" s="1"/>
  <c r="K29" i="9"/>
  <c r="M29" i="9" s="1"/>
  <c r="L29" i="9"/>
  <c r="N29" i="9" s="1"/>
  <c r="K30" i="9"/>
  <c r="M30" i="9" s="1"/>
  <c r="L30" i="9"/>
  <c r="N30" i="9" s="1"/>
  <c r="K31" i="9"/>
  <c r="M31" i="9" s="1"/>
  <c r="L31" i="9"/>
  <c r="N31" i="9" s="1"/>
  <c r="K32" i="9"/>
  <c r="M32" i="9" s="1"/>
  <c r="L32" i="9"/>
  <c r="N32" i="9" s="1"/>
  <c r="K33" i="9"/>
  <c r="M33" i="9" s="1"/>
  <c r="L33" i="9"/>
  <c r="N33" i="9" s="1"/>
  <c r="K34" i="9"/>
  <c r="M34" i="9" s="1"/>
  <c r="L34" i="9"/>
  <c r="N34" i="9" s="1"/>
  <c r="K35" i="9"/>
  <c r="M35" i="9" s="1"/>
  <c r="L35" i="9"/>
  <c r="N35" i="9" s="1"/>
  <c r="K36" i="9"/>
  <c r="M36" i="9" s="1"/>
  <c r="L36" i="9"/>
  <c r="N36" i="9" s="1"/>
  <c r="K37" i="9"/>
  <c r="M37" i="9" s="1"/>
  <c r="L37" i="9"/>
  <c r="N37" i="9" s="1"/>
  <c r="K38" i="9"/>
  <c r="M38" i="9" s="1"/>
  <c r="L38" i="9"/>
  <c r="N38" i="9" s="1"/>
  <c r="K39" i="9"/>
  <c r="M39" i="9" s="1"/>
  <c r="L39" i="9"/>
  <c r="N39" i="9" s="1"/>
  <c r="K40" i="9"/>
  <c r="M40" i="9" s="1"/>
  <c r="L40" i="9"/>
  <c r="N40" i="9" s="1"/>
  <c r="K43" i="9"/>
  <c r="M43" i="9" s="1"/>
  <c r="L43" i="9"/>
  <c r="N43" i="9" s="1"/>
  <c r="K44" i="9"/>
  <c r="M44" i="9" s="1"/>
  <c r="L44" i="9"/>
  <c r="N44" i="9" s="1"/>
  <c r="K46" i="9"/>
  <c r="M46" i="9" s="1"/>
  <c r="L46" i="9"/>
  <c r="N46" i="9" s="1"/>
  <c r="K48" i="9"/>
  <c r="M48" i="9" s="1"/>
  <c r="L48" i="9"/>
  <c r="N48" i="9" s="1"/>
  <c r="K49" i="9"/>
  <c r="M49" i="9" s="1"/>
  <c r="L49" i="9"/>
  <c r="N49" i="9" s="1"/>
  <c r="K50" i="9"/>
  <c r="M50" i="9" s="1"/>
  <c r="L50" i="9"/>
  <c r="N50" i="9" s="1"/>
  <c r="K51" i="9"/>
  <c r="M51" i="9" s="1"/>
  <c r="L51" i="9"/>
  <c r="N51" i="9" s="1"/>
  <c r="K52" i="9"/>
  <c r="M52" i="9" s="1"/>
  <c r="L52" i="9"/>
  <c r="N52" i="9" s="1"/>
  <c r="K53" i="9"/>
  <c r="M53" i="9" s="1"/>
  <c r="L53" i="9"/>
  <c r="N53" i="9" s="1"/>
  <c r="K54" i="9"/>
  <c r="M54" i="9" s="1"/>
  <c r="L54" i="9"/>
  <c r="N54" i="9" s="1"/>
  <c r="K55" i="9"/>
  <c r="M55" i="9" s="1"/>
  <c r="L55" i="9"/>
  <c r="K57" i="9"/>
  <c r="M57" i="9" s="1"/>
  <c r="L57" i="9"/>
  <c r="N57" i="9" s="1"/>
  <c r="L6" i="9"/>
  <c r="N6" i="9" s="1"/>
  <c r="K6" i="9"/>
  <c r="M6" i="9" s="1"/>
  <c r="D58" i="7"/>
  <c r="E58" i="7"/>
  <c r="F58" i="7"/>
  <c r="G58" i="7"/>
  <c r="H58" i="7"/>
  <c r="C58" i="7"/>
  <c r="D56" i="7"/>
  <c r="J56" i="7" s="1"/>
  <c r="E56" i="7"/>
  <c r="F56" i="7"/>
  <c r="G56" i="7"/>
  <c r="H56" i="7"/>
  <c r="K56" i="7" s="1"/>
  <c r="C56" i="7"/>
  <c r="D47" i="7"/>
  <c r="E47" i="7"/>
  <c r="F47" i="7"/>
  <c r="L47" i="9" s="1"/>
  <c r="N47" i="9" s="1"/>
  <c r="G47" i="7"/>
  <c r="H47" i="7"/>
  <c r="C47" i="7"/>
  <c r="D45" i="7"/>
  <c r="E45" i="7"/>
  <c r="F45" i="7"/>
  <c r="G45" i="7"/>
  <c r="H45" i="7"/>
  <c r="C45" i="7"/>
  <c r="D41" i="7"/>
  <c r="E41" i="7"/>
  <c r="F41" i="7"/>
  <c r="I41" i="7" s="1"/>
  <c r="G41" i="7"/>
  <c r="H41" i="7"/>
  <c r="C41" i="7"/>
  <c r="D18" i="7"/>
  <c r="E18" i="7"/>
  <c r="F18" i="7"/>
  <c r="G18" i="7"/>
  <c r="H18" i="7"/>
  <c r="C18" i="7"/>
  <c r="C42" i="7" s="1"/>
  <c r="I43" i="7"/>
  <c r="J43" i="7"/>
  <c r="K43" i="7"/>
  <c r="I44" i="7"/>
  <c r="J44" i="7"/>
  <c r="K44" i="7"/>
  <c r="I46" i="7"/>
  <c r="J46" i="7"/>
  <c r="K46" i="7"/>
  <c r="I48" i="7"/>
  <c r="J48" i="7"/>
  <c r="K48" i="7"/>
  <c r="I49" i="7"/>
  <c r="J49" i="7"/>
  <c r="K49" i="7"/>
  <c r="I50" i="7"/>
  <c r="J50" i="7"/>
  <c r="K50" i="7"/>
  <c r="I51" i="7"/>
  <c r="J51" i="7"/>
  <c r="K51" i="7"/>
  <c r="I52" i="7"/>
  <c r="J52" i="7"/>
  <c r="K52" i="7"/>
  <c r="I53" i="7"/>
  <c r="J53" i="7"/>
  <c r="K53" i="7"/>
  <c r="I54" i="7"/>
  <c r="J54" i="7"/>
  <c r="K54" i="7"/>
  <c r="I55" i="7"/>
  <c r="J55" i="7"/>
  <c r="K55" i="7"/>
  <c r="K57" i="7"/>
  <c r="I7" i="7"/>
  <c r="J7" i="7"/>
  <c r="K7" i="7"/>
  <c r="I8" i="7"/>
  <c r="J8" i="7"/>
  <c r="K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9" i="7"/>
  <c r="J19" i="7"/>
  <c r="K19" i="7"/>
  <c r="I20" i="7"/>
  <c r="J20" i="7"/>
  <c r="K20" i="7"/>
  <c r="K21" i="7"/>
  <c r="J22" i="7"/>
  <c r="K22" i="7"/>
  <c r="I23" i="7"/>
  <c r="J23" i="7"/>
  <c r="K23" i="7"/>
  <c r="K24" i="7"/>
  <c r="I25" i="7"/>
  <c r="J25" i="7"/>
  <c r="K25" i="7"/>
  <c r="I26" i="7"/>
  <c r="J26" i="7"/>
  <c r="K26" i="7"/>
  <c r="I27" i="7"/>
  <c r="J27" i="7"/>
  <c r="K27" i="7"/>
  <c r="I28" i="7"/>
  <c r="J28" i="7"/>
  <c r="K28" i="7"/>
  <c r="I29" i="7"/>
  <c r="J29" i="7"/>
  <c r="K29" i="7"/>
  <c r="I30" i="7"/>
  <c r="J30" i="7"/>
  <c r="K30" i="7"/>
  <c r="K31" i="7"/>
  <c r="K32" i="7"/>
  <c r="K33" i="7"/>
  <c r="I34" i="7"/>
  <c r="J34" i="7"/>
  <c r="K34" i="7"/>
  <c r="J35" i="7"/>
  <c r="K35" i="7"/>
  <c r="I36" i="7"/>
  <c r="J36" i="7"/>
  <c r="K36" i="7"/>
  <c r="K37" i="7"/>
  <c r="K38" i="7"/>
  <c r="J39" i="7"/>
  <c r="K39" i="7"/>
  <c r="I40" i="7"/>
  <c r="J40" i="7"/>
  <c r="K40" i="7"/>
  <c r="K6" i="7"/>
  <c r="J6" i="7"/>
  <c r="I6" i="7"/>
  <c r="I7" i="9"/>
  <c r="I8" i="9"/>
  <c r="I9" i="9"/>
  <c r="I10" i="9"/>
  <c r="I11" i="9"/>
  <c r="I12" i="9"/>
  <c r="I13" i="9"/>
  <c r="I14" i="9"/>
  <c r="I15" i="9"/>
  <c r="I16" i="9"/>
  <c r="I17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3" i="9"/>
  <c r="I44" i="9"/>
  <c r="I46" i="9"/>
  <c r="I48" i="9"/>
  <c r="I49" i="9"/>
  <c r="I50" i="9"/>
  <c r="I51" i="9"/>
  <c r="I52" i="9"/>
  <c r="I53" i="9"/>
  <c r="I54" i="9"/>
  <c r="I55" i="9"/>
  <c r="I57" i="9"/>
  <c r="I6" i="9"/>
  <c r="H6" i="9"/>
  <c r="D58" i="9"/>
  <c r="I58" i="9" s="1"/>
  <c r="E58" i="9"/>
  <c r="F58" i="9"/>
  <c r="C58" i="9"/>
  <c r="D56" i="9"/>
  <c r="E56" i="9"/>
  <c r="F56" i="9"/>
  <c r="S56" i="106" s="1"/>
  <c r="C56" i="9"/>
  <c r="D47" i="9"/>
  <c r="E47" i="9"/>
  <c r="F47" i="9"/>
  <c r="G47" i="9"/>
  <c r="C47" i="9"/>
  <c r="D45" i="9"/>
  <c r="E45" i="9"/>
  <c r="F45" i="9"/>
  <c r="G45" i="9"/>
  <c r="C45" i="9"/>
  <c r="D41" i="9"/>
  <c r="E41" i="9"/>
  <c r="E42" i="9" s="1"/>
  <c r="F41" i="9"/>
  <c r="S41" i="106" s="1"/>
  <c r="G41" i="9"/>
  <c r="C41" i="9"/>
  <c r="D18" i="9"/>
  <c r="D42" i="9" s="1"/>
  <c r="E18" i="9"/>
  <c r="F18" i="9"/>
  <c r="G18" i="9"/>
  <c r="C18" i="9"/>
  <c r="H57" i="9"/>
  <c r="H7" i="9"/>
  <c r="H8" i="9"/>
  <c r="H9" i="9"/>
  <c r="H10" i="9"/>
  <c r="H11" i="9"/>
  <c r="H12" i="9"/>
  <c r="H13" i="9"/>
  <c r="H14" i="9"/>
  <c r="H15" i="9"/>
  <c r="H16" i="9"/>
  <c r="H17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3" i="9"/>
  <c r="H44" i="9"/>
  <c r="H46" i="9"/>
  <c r="H47" i="9"/>
  <c r="H48" i="9"/>
  <c r="H49" i="9"/>
  <c r="H50" i="9"/>
  <c r="H51" i="9"/>
  <c r="H52" i="9"/>
  <c r="H53" i="9"/>
  <c r="H54" i="9"/>
  <c r="H55" i="9"/>
  <c r="F5" i="3"/>
  <c r="F6" i="3"/>
  <c r="F7" i="3"/>
  <c r="F8" i="3"/>
  <c r="F9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41" i="3"/>
  <c r="F42" i="3"/>
  <c r="F44" i="3"/>
  <c r="F46" i="3"/>
  <c r="F47" i="3"/>
  <c r="F48" i="3"/>
  <c r="F49" i="3"/>
  <c r="F50" i="3"/>
  <c r="F51" i="3"/>
  <c r="F52" i="3"/>
  <c r="F53" i="3"/>
  <c r="F55" i="3"/>
  <c r="F4" i="3"/>
  <c r="D56" i="3"/>
  <c r="E56" i="3"/>
  <c r="G56" i="3"/>
  <c r="C56" i="3"/>
  <c r="D54" i="3"/>
  <c r="E54" i="3"/>
  <c r="G54" i="3"/>
  <c r="C54" i="3"/>
  <c r="D45" i="3"/>
  <c r="E45" i="3"/>
  <c r="G45" i="3"/>
  <c r="C45" i="3"/>
  <c r="D43" i="3"/>
  <c r="E43" i="3"/>
  <c r="G43" i="3"/>
  <c r="C43" i="3"/>
  <c r="D39" i="3"/>
  <c r="E39" i="3"/>
  <c r="G39" i="3"/>
  <c r="C39" i="3"/>
  <c r="D16" i="3"/>
  <c r="E16" i="3"/>
  <c r="G16" i="3"/>
  <c r="C16" i="3"/>
  <c r="L57" i="104" l="1"/>
  <c r="E57" i="78" s="1"/>
  <c r="E59" i="9"/>
  <c r="E42" i="15"/>
  <c r="E57" i="15" s="1"/>
  <c r="C42" i="9"/>
  <c r="C59" i="9" s="1"/>
  <c r="I47" i="9"/>
  <c r="K47" i="9"/>
  <c r="M47" i="9" s="1"/>
  <c r="K47" i="7"/>
  <c r="K58" i="9"/>
  <c r="M58" i="9" s="1"/>
  <c r="O56" i="107"/>
  <c r="M57" i="103"/>
  <c r="H57" i="107"/>
  <c r="H57" i="78" s="1"/>
  <c r="Q27" i="107"/>
  <c r="F57" i="103"/>
  <c r="Q57" i="103" s="1"/>
  <c r="R57" i="103" s="1"/>
  <c r="Q42" i="103"/>
  <c r="R42" i="103" s="1"/>
  <c r="S18" i="106"/>
  <c r="P18" i="105"/>
  <c r="F42" i="9"/>
  <c r="S42" i="106" s="1"/>
  <c r="I45" i="9"/>
  <c r="S45" i="106"/>
  <c r="P45" i="105"/>
  <c r="M45" i="104"/>
  <c r="H58" i="9"/>
  <c r="F50" i="15"/>
  <c r="G50" i="15" s="1"/>
  <c r="O45" i="103"/>
  <c r="E47" i="78"/>
  <c r="M47" i="104"/>
  <c r="O18" i="103"/>
  <c r="M18" i="104"/>
  <c r="S47" i="106"/>
  <c r="P47" i="105"/>
  <c r="G42" i="7"/>
  <c r="G59" i="7" s="1"/>
  <c r="K45" i="9"/>
  <c r="M45" i="9" s="1"/>
  <c r="J47" i="7"/>
  <c r="M57" i="105"/>
  <c r="O27" i="105"/>
  <c r="O56" i="103"/>
  <c r="Q50" i="107"/>
  <c r="O41" i="103"/>
  <c r="P18" i="107"/>
  <c r="N18" i="78"/>
  <c r="F21" i="15"/>
  <c r="G21" i="15" s="1"/>
  <c r="O21" i="105"/>
  <c r="Q21" i="107"/>
  <c r="F44" i="15"/>
  <c r="G44" i="15" s="1"/>
  <c r="Q44" i="107"/>
  <c r="O44" i="105"/>
  <c r="P16" i="107"/>
  <c r="N16" i="78"/>
  <c r="F11" i="15"/>
  <c r="G11" i="15" s="1"/>
  <c r="O11" i="105"/>
  <c r="Q11" i="107"/>
  <c r="F32" i="15"/>
  <c r="G32" i="15" s="1"/>
  <c r="O32" i="105"/>
  <c r="Q32" i="107"/>
  <c r="F22" i="15"/>
  <c r="G22" i="15" s="1"/>
  <c r="O22" i="105"/>
  <c r="Q22" i="107"/>
  <c r="F23" i="15"/>
  <c r="G23" i="15" s="1"/>
  <c r="Q23" i="107"/>
  <c r="F51" i="15"/>
  <c r="G51" i="15" s="1"/>
  <c r="O51" i="105"/>
  <c r="Q51" i="107"/>
  <c r="F15" i="15"/>
  <c r="G15" i="15" s="1"/>
  <c r="O15" i="105"/>
  <c r="Q15" i="107"/>
  <c r="F34" i="15"/>
  <c r="G34" i="15" s="1"/>
  <c r="O34" i="105"/>
  <c r="Q34" i="107"/>
  <c r="F6" i="15"/>
  <c r="G6" i="15" s="1"/>
  <c r="O6" i="105"/>
  <c r="Q6" i="107"/>
  <c r="O45" i="105"/>
  <c r="Q45" i="107"/>
  <c r="F24" i="15"/>
  <c r="G24" i="15" s="1"/>
  <c r="Q24" i="107"/>
  <c r="O24" i="105"/>
  <c r="G43" i="15"/>
  <c r="F38" i="15"/>
  <c r="G38" i="15" s="1"/>
  <c r="Q47" i="107"/>
  <c r="Q7" i="107"/>
  <c r="O38" i="105"/>
  <c r="F7" i="15"/>
  <c r="G7" i="15" s="1"/>
  <c r="F8" i="15"/>
  <c r="G8" i="15" s="1"/>
  <c r="Q8" i="107"/>
  <c r="O8" i="105"/>
  <c r="F25" i="15"/>
  <c r="G25" i="15" s="1"/>
  <c r="O25" i="105"/>
  <c r="Q25" i="107"/>
  <c r="F53" i="15"/>
  <c r="G53" i="15" s="1"/>
  <c r="Q53" i="107"/>
  <c r="O53" i="105"/>
  <c r="O23" i="105"/>
  <c r="F28" i="15"/>
  <c r="G28" i="15" s="1"/>
  <c r="O28" i="105"/>
  <c r="Q28" i="107"/>
  <c r="F36" i="15"/>
  <c r="G36" i="15" s="1"/>
  <c r="O36" i="105"/>
  <c r="Q36" i="107"/>
  <c r="F9" i="15"/>
  <c r="G9" i="15" s="1"/>
  <c r="Q9" i="107"/>
  <c r="F26" i="15"/>
  <c r="G26" i="15" s="1"/>
  <c r="O26" i="105"/>
  <c r="Q26" i="107"/>
  <c r="O9" i="105"/>
  <c r="O7" i="105"/>
  <c r="Q38" i="107"/>
  <c r="P56" i="107"/>
  <c r="O56" i="105" s="1"/>
  <c r="N56" i="78"/>
  <c r="F17" i="15"/>
  <c r="G17" i="15" s="1"/>
  <c r="O17" i="105"/>
  <c r="Q17" i="107"/>
  <c r="F40" i="15"/>
  <c r="G40" i="15" s="1"/>
  <c r="O40" i="105"/>
  <c r="Q40" i="107"/>
  <c r="F55" i="15"/>
  <c r="G55" i="15" s="1"/>
  <c r="Q55" i="107"/>
  <c r="O55" i="105"/>
  <c r="F14" i="15"/>
  <c r="G14" i="15" s="1"/>
  <c r="F30" i="15"/>
  <c r="G30" i="15" s="1"/>
  <c r="O30" i="105"/>
  <c r="Q30" i="107"/>
  <c r="G48" i="15"/>
  <c r="F20" i="15"/>
  <c r="G20" i="15" s="1"/>
  <c r="O20" i="105"/>
  <c r="Q20" i="107"/>
  <c r="G46" i="15"/>
  <c r="F47" i="15"/>
  <c r="G47" i="15" s="1"/>
  <c r="Q13" i="107"/>
  <c r="F13" i="15"/>
  <c r="G13" i="15" s="1"/>
  <c r="Q49" i="107"/>
  <c r="F49" i="15"/>
  <c r="G49" i="15" s="1"/>
  <c r="D57" i="103"/>
  <c r="O57" i="103" s="1"/>
  <c r="P41" i="107"/>
  <c r="O41" i="105" s="1"/>
  <c r="N41" i="78"/>
  <c r="Q19" i="107"/>
  <c r="F19" i="15"/>
  <c r="G42" i="9"/>
  <c r="I57" i="104"/>
  <c r="N57" i="105"/>
  <c r="K57" i="85" s="1"/>
  <c r="F16" i="3"/>
  <c r="F39" i="3"/>
  <c r="F43" i="3"/>
  <c r="K57" i="104"/>
  <c r="O57" i="107" s="1"/>
  <c r="K45" i="7"/>
  <c r="I47" i="7"/>
  <c r="J45" i="7"/>
  <c r="L58" i="9"/>
  <c r="N58" i="9" s="1"/>
  <c r="L45" i="9"/>
  <c r="N45" i="9" s="1"/>
  <c r="I45" i="7"/>
  <c r="K58" i="7"/>
  <c r="F42" i="7"/>
  <c r="F59" i="7" s="1"/>
  <c r="L41" i="9"/>
  <c r="N41" i="9" s="1"/>
  <c r="I56" i="9"/>
  <c r="M56" i="104"/>
  <c r="P56" i="105"/>
  <c r="P42" i="105"/>
  <c r="F59" i="9"/>
  <c r="S57" i="106" s="1"/>
  <c r="I41" i="9"/>
  <c r="M41" i="104"/>
  <c r="P41" i="105"/>
  <c r="Q41" i="107"/>
  <c r="I42" i="9"/>
  <c r="D42" i="7"/>
  <c r="D59" i="7" s="1"/>
  <c r="K41" i="9"/>
  <c r="M41" i="9" s="1"/>
  <c r="H42" i="7"/>
  <c r="H59" i="7" s="1"/>
  <c r="K41" i="7"/>
  <c r="E42" i="7"/>
  <c r="I56" i="7"/>
  <c r="L56" i="9"/>
  <c r="N56" i="9" s="1"/>
  <c r="K56" i="9"/>
  <c r="M56" i="9" s="1"/>
  <c r="F45" i="3"/>
  <c r="F54" i="3"/>
  <c r="F56" i="3"/>
  <c r="D40" i="3"/>
  <c r="D57" i="3" s="1"/>
  <c r="C40" i="3"/>
  <c r="C57" i="3" s="1"/>
  <c r="G40" i="3"/>
  <c r="E40" i="3"/>
  <c r="O18" i="105"/>
  <c r="L18" i="9"/>
  <c r="N18" i="9" s="1"/>
  <c r="E59" i="7"/>
  <c r="K18" i="7"/>
  <c r="J18" i="7"/>
  <c r="C59" i="7"/>
  <c r="K18" i="9"/>
  <c r="M18" i="9" s="1"/>
  <c r="I42" i="7"/>
  <c r="I18" i="7"/>
  <c r="D59" i="9"/>
  <c r="I59" i="9" s="1"/>
  <c r="I18" i="9"/>
  <c r="J41" i="7"/>
  <c r="H56" i="9"/>
  <c r="H45" i="9"/>
  <c r="H18" i="9"/>
  <c r="Q56" i="107" l="1"/>
  <c r="Q18" i="107"/>
  <c r="J59" i="7"/>
  <c r="O42" i="103"/>
  <c r="F56" i="15"/>
  <c r="G56" i="15" s="1"/>
  <c r="F16" i="15"/>
  <c r="G16" i="15" s="1"/>
  <c r="O16" i="105"/>
  <c r="Q16" i="107"/>
  <c r="N57" i="103"/>
  <c r="P57" i="107" s="1"/>
  <c r="Q57" i="107" s="1"/>
  <c r="F45" i="15"/>
  <c r="G45" i="15" s="1"/>
  <c r="F41" i="15"/>
  <c r="G41" i="15" s="1"/>
  <c r="G19" i="15"/>
  <c r="M57" i="104"/>
  <c r="P57" i="105"/>
  <c r="K42" i="9"/>
  <c r="M42" i="9" s="1"/>
  <c r="J42" i="7"/>
  <c r="L42" i="9"/>
  <c r="N42" i="9" s="1"/>
  <c r="K42" i="7"/>
  <c r="L59" i="9"/>
  <c r="N59" i="9" s="1"/>
  <c r="K59" i="7"/>
  <c r="G57" i="3"/>
  <c r="F40" i="3"/>
  <c r="E57" i="3"/>
  <c r="M42" i="105"/>
  <c r="N42" i="105"/>
  <c r="I59" i="7"/>
  <c r="K59" i="9"/>
  <c r="M59" i="9" s="1"/>
  <c r="M42" i="103"/>
  <c r="N42" i="103"/>
  <c r="L42" i="104"/>
  <c r="K42" i="104"/>
  <c r="Q18" i="110"/>
  <c r="Q41" i="110"/>
  <c r="F57" i="3" l="1"/>
  <c r="E42" i="78"/>
  <c r="M42" i="104"/>
  <c r="N57" i="78"/>
  <c r="F18" i="15"/>
  <c r="G18" i="15" s="1"/>
  <c r="P42" i="107"/>
  <c r="Q42" i="107" s="1"/>
  <c r="N42" i="78"/>
  <c r="O57" i="105"/>
  <c r="F42" i="15"/>
  <c r="F57" i="15" s="1"/>
  <c r="G57" i="15" s="1"/>
  <c r="O42" i="107"/>
  <c r="Q42" i="109"/>
  <c r="G42" i="15" l="1"/>
  <c r="O42" i="105"/>
  <c r="R42" i="109"/>
  <c r="U42" i="109" s="1"/>
  <c r="D40" i="134"/>
  <c r="E40" i="134"/>
  <c r="F40" i="134"/>
  <c r="G40" i="134"/>
  <c r="H40" i="134"/>
  <c r="C40" i="134"/>
  <c r="J38" i="134"/>
  <c r="I38" i="134"/>
  <c r="J48" i="134"/>
  <c r="D49" i="134"/>
  <c r="E49" i="134"/>
  <c r="F49" i="134"/>
  <c r="G49" i="134"/>
  <c r="H49" i="134"/>
  <c r="C49" i="134"/>
  <c r="I42" i="134"/>
  <c r="J42" i="134"/>
  <c r="I43" i="134"/>
  <c r="J43" i="134"/>
  <c r="I44" i="134"/>
  <c r="J44" i="134"/>
  <c r="I45" i="134"/>
  <c r="J45" i="134"/>
  <c r="I46" i="134"/>
  <c r="J46" i="134"/>
  <c r="I47" i="134"/>
  <c r="J47" i="134"/>
  <c r="I48" i="134"/>
  <c r="J41" i="134"/>
  <c r="I41" i="134"/>
  <c r="J39" i="134"/>
  <c r="J40" i="134" s="1"/>
  <c r="I39" i="134"/>
  <c r="I40" i="134" s="1"/>
  <c r="I24" i="134"/>
  <c r="J24" i="134"/>
  <c r="I31" i="134"/>
  <c r="J31" i="134"/>
  <c r="I32" i="134"/>
  <c r="J32" i="134"/>
  <c r="I34" i="134"/>
  <c r="J34" i="134"/>
  <c r="I27" i="134"/>
  <c r="J27" i="134"/>
  <c r="I21" i="134"/>
  <c r="J21" i="134"/>
  <c r="I30" i="134"/>
  <c r="J30" i="134"/>
  <c r="I35" i="134"/>
  <c r="J35" i="134"/>
  <c r="I26" i="134"/>
  <c r="J26" i="134"/>
  <c r="I23" i="134"/>
  <c r="J23" i="134"/>
  <c r="I33" i="134"/>
  <c r="J33" i="134"/>
  <c r="I22" i="134"/>
  <c r="J22" i="134"/>
  <c r="I29" i="134"/>
  <c r="J29" i="134"/>
  <c r="I28" i="134"/>
  <c r="J28" i="134"/>
  <c r="J25" i="134"/>
  <c r="I25" i="134"/>
  <c r="I7" i="134"/>
  <c r="J7" i="134"/>
  <c r="I8" i="134"/>
  <c r="J8" i="134"/>
  <c r="I9" i="134"/>
  <c r="J9" i="134"/>
  <c r="I10" i="134"/>
  <c r="J10" i="134"/>
  <c r="I11" i="134"/>
  <c r="J11" i="134"/>
  <c r="I12" i="134"/>
  <c r="J12" i="134"/>
  <c r="I13" i="134"/>
  <c r="J13" i="134"/>
  <c r="I15" i="134"/>
  <c r="J15" i="134"/>
  <c r="I18" i="134"/>
  <c r="J18" i="134"/>
  <c r="I14" i="134"/>
  <c r="J14" i="134"/>
  <c r="I17" i="134"/>
  <c r="J17" i="134"/>
  <c r="J16" i="134"/>
  <c r="I16" i="134"/>
  <c r="I49" i="134" l="1"/>
  <c r="J49" i="134"/>
  <c r="D35" i="130"/>
  <c r="E35" i="130"/>
  <c r="F35" i="130"/>
  <c r="G35" i="130"/>
  <c r="H35" i="130"/>
  <c r="C35" i="130"/>
  <c r="D32" i="130"/>
  <c r="E32" i="130"/>
  <c r="F32" i="130"/>
  <c r="G32" i="130"/>
  <c r="G36" i="130" s="1"/>
  <c r="H32" i="130"/>
  <c r="C32" i="130"/>
  <c r="D17" i="130"/>
  <c r="E17" i="130"/>
  <c r="F17" i="130"/>
  <c r="G17" i="130"/>
  <c r="H17" i="130"/>
  <c r="C17" i="130"/>
  <c r="C36" i="130" l="1"/>
  <c r="E36" i="130"/>
  <c r="F36" i="130"/>
  <c r="H36" i="130"/>
  <c r="D36" i="130"/>
  <c r="G58" i="9" l="1"/>
  <c r="G56" i="9" l="1"/>
  <c r="G59" i="9" l="1"/>
  <c r="E5" i="144" l="1"/>
  <c r="E6" i="144"/>
  <c r="E7" i="144"/>
  <c r="E8" i="144"/>
  <c r="E9" i="144"/>
  <c r="E10" i="144"/>
  <c r="E11" i="144"/>
  <c r="E12" i="144"/>
  <c r="E13" i="144"/>
  <c r="E14" i="144"/>
  <c r="E15" i="144"/>
  <c r="E16" i="144"/>
  <c r="E17" i="144"/>
  <c r="E18" i="144"/>
  <c r="E19" i="144"/>
  <c r="E20" i="144"/>
  <c r="E21" i="144"/>
  <c r="E22" i="144"/>
  <c r="E23" i="144"/>
  <c r="E24" i="144"/>
  <c r="E25" i="144"/>
  <c r="E26" i="144"/>
  <c r="E27" i="144"/>
  <c r="E28" i="144"/>
  <c r="E29" i="144"/>
  <c r="E30" i="144"/>
  <c r="E31" i="144"/>
  <c r="E32" i="144"/>
  <c r="E33" i="144"/>
  <c r="E34" i="144"/>
  <c r="E35" i="144"/>
  <c r="E36" i="144"/>
  <c r="E37" i="144"/>
  <c r="E38" i="144"/>
  <c r="E39" i="144"/>
  <c r="E40" i="144"/>
  <c r="E41" i="144"/>
  <c r="E42" i="144"/>
  <c r="E43" i="144"/>
  <c r="E44" i="144"/>
  <c r="E45" i="144"/>
  <c r="E46" i="144"/>
  <c r="E47" i="144"/>
  <c r="E48" i="144"/>
  <c r="E49" i="144"/>
  <c r="E50" i="144"/>
  <c r="E51" i="144"/>
  <c r="E52" i="144"/>
  <c r="E53" i="144"/>
  <c r="E54" i="144"/>
  <c r="E55" i="144"/>
  <c r="E4" i="144"/>
  <c r="E56" i="144" l="1"/>
  <c r="H42" i="9" l="1"/>
  <c r="H59" i="9" l="1"/>
  <c r="Q7" i="78"/>
  <c r="R7" i="78"/>
  <c r="Q8" i="78"/>
  <c r="R8" i="78"/>
  <c r="Q9" i="78"/>
  <c r="R9" i="78"/>
  <c r="Q10" i="78"/>
  <c r="R10" i="78"/>
  <c r="Q11" i="78"/>
  <c r="R11" i="78"/>
  <c r="Q12" i="78"/>
  <c r="R12" i="78"/>
  <c r="Q13" i="78"/>
  <c r="R13" i="78"/>
  <c r="Q14" i="78"/>
  <c r="R14" i="78"/>
  <c r="Q15" i="78"/>
  <c r="R15" i="78"/>
  <c r="Q16" i="78"/>
  <c r="R16" i="78"/>
  <c r="Q17" i="78"/>
  <c r="R17" i="78"/>
  <c r="Q19" i="78"/>
  <c r="R19" i="78"/>
  <c r="Q20" i="78"/>
  <c r="R20" i="78"/>
  <c r="Q21" i="78"/>
  <c r="R21" i="78"/>
  <c r="Q22" i="78"/>
  <c r="R22" i="78"/>
  <c r="Q23" i="78"/>
  <c r="R23" i="78"/>
  <c r="Q24" i="78"/>
  <c r="R24" i="78"/>
  <c r="Q25" i="78"/>
  <c r="R25" i="78"/>
  <c r="Q26" i="78"/>
  <c r="R26" i="78"/>
  <c r="Q27" i="78"/>
  <c r="R27" i="78"/>
  <c r="Q28" i="78"/>
  <c r="R28" i="78"/>
  <c r="Q29" i="78"/>
  <c r="R29" i="78"/>
  <c r="Q30" i="78"/>
  <c r="R30" i="78"/>
  <c r="Q31" i="78"/>
  <c r="R31" i="78"/>
  <c r="Q32" i="78"/>
  <c r="R32" i="78"/>
  <c r="Q33" i="78"/>
  <c r="R33" i="78"/>
  <c r="Q34" i="78"/>
  <c r="R34" i="78"/>
  <c r="Q35" i="78"/>
  <c r="R35" i="78"/>
  <c r="Q36" i="78"/>
  <c r="R36" i="78"/>
  <c r="Q37" i="78"/>
  <c r="R37" i="78"/>
  <c r="Q38" i="78"/>
  <c r="R38" i="78"/>
  <c r="Q39" i="78"/>
  <c r="R39" i="78"/>
  <c r="Q40" i="78"/>
  <c r="R40" i="78"/>
  <c r="Q43" i="78"/>
  <c r="R43" i="78"/>
  <c r="Q44" i="78"/>
  <c r="R44" i="78"/>
  <c r="Q46" i="78"/>
  <c r="R46" i="78"/>
  <c r="Q47" i="78"/>
  <c r="R47" i="78"/>
  <c r="Q48" i="78"/>
  <c r="R48" i="78"/>
  <c r="Q49" i="78"/>
  <c r="R49" i="78"/>
  <c r="Q50" i="78"/>
  <c r="R50" i="78"/>
  <c r="Q51" i="78"/>
  <c r="R51" i="78"/>
  <c r="Q52" i="78"/>
  <c r="R52" i="78"/>
  <c r="Q53" i="78"/>
  <c r="R53" i="78"/>
  <c r="Q54" i="78"/>
  <c r="R54" i="78"/>
  <c r="Q55" i="78"/>
  <c r="R55" i="78"/>
  <c r="R6" i="78"/>
  <c r="Q6" i="78"/>
  <c r="Q47" i="110"/>
  <c r="S52" i="78" l="1"/>
  <c r="S48" i="78"/>
  <c r="S43" i="78"/>
  <c r="S37" i="78"/>
  <c r="S33" i="78"/>
  <c r="S29" i="78"/>
  <c r="S25" i="78"/>
  <c r="S21" i="78"/>
  <c r="S16" i="78"/>
  <c r="S14" i="78"/>
  <c r="S10" i="78"/>
  <c r="S8" i="78"/>
  <c r="S6" i="78"/>
  <c r="S55" i="78"/>
  <c r="S53" i="78"/>
  <c r="S51" i="78"/>
  <c r="S47" i="78"/>
  <c r="S44" i="78"/>
  <c r="S40" i="78"/>
  <c r="S38" i="78"/>
  <c r="S36" i="78"/>
  <c r="S34" i="78"/>
  <c r="S32" i="78"/>
  <c r="S30" i="78"/>
  <c r="S28" i="78"/>
  <c r="S26" i="78"/>
  <c r="S24" i="78"/>
  <c r="S22" i="78"/>
  <c r="S20" i="78"/>
  <c r="S17" i="78"/>
  <c r="S15" i="78"/>
  <c r="S13" i="78"/>
  <c r="S11" i="78"/>
  <c r="S9" i="78"/>
  <c r="S7" i="78"/>
  <c r="S54" i="78"/>
  <c r="S50" i="78"/>
  <c r="S46" i="78"/>
  <c r="S39" i="78"/>
  <c r="S35" i="78"/>
  <c r="S31" i="78"/>
  <c r="S27" i="78"/>
  <c r="S19" i="78"/>
  <c r="S12" i="78"/>
  <c r="S23" i="78"/>
  <c r="S49" i="78"/>
  <c r="Q45" i="78"/>
  <c r="Q18" i="78"/>
  <c r="I42" i="85"/>
  <c r="Q56" i="78"/>
  <c r="Q41" i="78"/>
  <c r="R56" i="78"/>
  <c r="R45" i="78"/>
  <c r="R41" i="78"/>
  <c r="Q45" i="110"/>
  <c r="Q56" i="110"/>
  <c r="R18" i="78"/>
  <c r="J42" i="85"/>
  <c r="S18" i="78" l="1"/>
  <c r="S45" i="78"/>
  <c r="S41" i="78"/>
  <c r="S56" i="78"/>
  <c r="K42" i="85"/>
  <c r="Q39" i="105"/>
  <c r="Q37" i="105"/>
  <c r="Q35" i="105"/>
  <c r="Q33" i="105"/>
  <c r="Q31" i="105"/>
  <c r="Q29" i="105"/>
  <c r="Q27" i="105"/>
  <c r="Q23" i="105"/>
  <c r="Q21" i="105"/>
  <c r="Q40" i="105"/>
  <c r="Q52" i="105"/>
  <c r="Q9" i="105"/>
  <c r="Q17" i="105"/>
  <c r="Q13" i="105"/>
  <c r="Q38" i="105"/>
  <c r="Q32" i="105"/>
  <c r="Q30" i="105"/>
  <c r="Q26" i="105"/>
  <c r="Q22" i="105"/>
  <c r="Q15" i="105"/>
  <c r="Q57" i="110"/>
  <c r="Q16" i="105"/>
  <c r="Q14" i="105"/>
  <c r="Q12" i="105"/>
  <c r="Q10" i="105"/>
  <c r="Q8" i="105"/>
  <c r="Q28" i="105"/>
  <c r="Q50" i="105"/>
  <c r="Q6" i="105"/>
  <c r="Q42" i="110"/>
  <c r="R42" i="78"/>
  <c r="S42" i="78" s="1"/>
  <c r="Q42" i="78"/>
  <c r="Q20" i="105" l="1"/>
  <c r="Q34" i="105"/>
  <c r="Q19" i="105"/>
  <c r="Q25" i="105"/>
  <c r="Q24" i="105"/>
  <c r="Q11" i="105"/>
  <c r="Q36" i="105"/>
  <c r="Q7" i="105"/>
  <c r="Q57" i="78"/>
  <c r="R57" i="78"/>
  <c r="S57" i="78" l="1"/>
  <c r="Q41" i="105"/>
  <c r="Q57" i="105" l="1"/>
  <c r="E67" i="137" l="1"/>
  <c r="D67" i="137"/>
  <c r="C67" i="137"/>
  <c r="H26" i="135" l="1"/>
  <c r="G26" i="135"/>
  <c r="F26" i="135"/>
  <c r="E26" i="135"/>
  <c r="D26" i="135"/>
  <c r="C26" i="135"/>
  <c r="F52" i="139"/>
  <c r="D52" i="139"/>
  <c r="C52" i="139"/>
  <c r="E52" i="139" l="1"/>
  <c r="G52" i="139"/>
  <c r="Q48" i="105" l="1"/>
  <c r="Q55" i="105"/>
  <c r="Q53" i="105"/>
  <c r="Q49" i="105"/>
  <c r="Q46" i="105"/>
  <c r="Q43" i="105"/>
  <c r="Q51" i="105"/>
  <c r="Q44" i="105" l="1"/>
  <c r="Q54" i="105"/>
  <c r="Q47" i="105"/>
  <c r="Q45" i="105"/>
  <c r="Q56" i="105"/>
  <c r="Q18" i="105"/>
  <c r="Q42" i="105" l="1"/>
  <c r="D36" i="134" l="1"/>
  <c r="E36" i="134"/>
  <c r="F36" i="134"/>
  <c r="G36" i="134"/>
  <c r="H36" i="134"/>
  <c r="C36" i="134"/>
  <c r="H19" i="134"/>
  <c r="G19" i="134"/>
  <c r="F19" i="134"/>
  <c r="E19" i="134"/>
  <c r="D19" i="134"/>
  <c r="C19" i="134"/>
  <c r="J55" i="101"/>
  <c r="I55" i="101"/>
  <c r="H55" i="101"/>
  <c r="G55" i="101"/>
  <c r="F55" i="101"/>
  <c r="E55" i="101"/>
  <c r="D55" i="101"/>
  <c r="C55" i="101"/>
  <c r="F50" i="134" l="1"/>
  <c r="G50" i="134"/>
  <c r="C50" i="134"/>
  <c r="D50" i="134"/>
  <c r="H50" i="134"/>
  <c r="J50" i="134" s="1"/>
  <c r="E50" i="134"/>
  <c r="J36" i="134"/>
  <c r="J19" i="134"/>
  <c r="I36" i="134"/>
  <c r="I19" i="134"/>
  <c r="I50" i="134" l="1"/>
  <c r="D62" i="3"/>
  <c r="G61" i="3"/>
  <c r="F61" i="3" l="1"/>
</calcChain>
</file>

<file path=xl/sharedStrings.xml><?xml version="1.0" encoding="utf-8"?>
<sst xmlns="http://schemas.openxmlformats.org/spreadsheetml/2006/main" count="3233" uniqueCount="1098">
  <si>
    <t>TOTAL</t>
  </si>
  <si>
    <t>Total</t>
  </si>
  <si>
    <t>BANKS</t>
  </si>
  <si>
    <t>RURAL</t>
  </si>
  <si>
    <t>SEMI URBAN</t>
  </si>
  <si>
    <t>URBAN</t>
  </si>
  <si>
    <t>ATMS</t>
  </si>
  <si>
    <t>DEPOSIT</t>
  </si>
  <si>
    <t>ADVANCES</t>
  </si>
  <si>
    <t>C.D RATIO</t>
  </si>
  <si>
    <t>SEMI-URBAN</t>
  </si>
  <si>
    <t>[Amt. in lacs]</t>
  </si>
  <si>
    <t>TOTAL ADVANCES</t>
  </si>
  <si>
    <t>DEPOSITS</t>
  </si>
  <si>
    <t>TABLE-2</t>
  </si>
  <si>
    <t>Amt.</t>
  </si>
  <si>
    <t>AGRICULTURE</t>
  </si>
  <si>
    <t>HOUSING</t>
  </si>
  <si>
    <t>EDUCATION</t>
  </si>
  <si>
    <t>TARGET</t>
  </si>
  <si>
    <t>NO.</t>
  </si>
  <si>
    <t>AMT.</t>
  </si>
  <si>
    <t>MSME</t>
  </si>
  <si>
    <t>SIKHS</t>
  </si>
  <si>
    <t>CHRISTIANS</t>
  </si>
  <si>
    <t>BUDDHISTS</t>
  </si>
  <si>
    <t>JAINS</t>
  </si>
  <si>
    <t>No.</t>
  </si>
  <si>
    <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</si>
  <si>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Farm Credit</t>
  </si>
  <si>
    <t>Total Agri</t>
  </si>
  <si>
    <t>EXPORT CREDIT</t>
  </si>
  <si>
    <t>SOCIAL INFRASTRUCTURE</t>
  </si>
  <si>
    <t>RENEWABLE ENERGY</t>
  </si>
  <si>
    <t>TOTAL NPS</t>
  </si>
  <si>
    <t>OTHERS PS</t>
  </si>
  <si>
    <t>TOTAL NPA</t>
  </si>
  <si>
    <t>FARM CREDIT</t>
  </si>
  <si>
    <t>TABLE-13</t>
  </si>
  <si>
    <t>OUTSTANDING</t>
  </si>
  <si>
    <t>CMPGB</t>
  </si>
  <si>
    <t>Axis Bank</t>
  </si>
  <si>
    <t>Corporation Bank</t>
  </si>
  <si>
    <t>Dena Bank</t>
  </si>
  <si>
    <t>Vijaya Bank</t>
  </si>
  <si>
    <t>City Union Bank</t>
  </si>
  <si>
    <t>NJGB</t>
  </si>
  <si>
    <t>OTHERS</t>
  </si>
  <si>
    <t>TOTAL PRIORITY SECTOR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</si>
  <si>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</si>
  <si>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</si>
  <si>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</si>
  <si>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</si>
  <si>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</si>
  <si>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</si>
  <si>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</si>
  <si>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</si>
  <si>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</si>
  <si>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</si>
  <si>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Syndicate Bank</t>
  </si>
  <si>
    <t>Union Bank of India</t>
  </si>
  <si>
    <t>United Bank of India</t>
  </si>
  <si>
    <t>Bharatiya Mahila Bank</t>
  </si>
  <si>
    <t>S.B. of Hyderabad</t>
  </si>
  <si>
    <t>State Bank of India</t>
  </si>
  <si>
    <t>HDFC Bank</t>
  </si>
  <si>
    <t>ICICI Bank</t>
  </si>
  <si>
    <t>Kotak Mahindra Bank</t>
  </si>
  <si>
    <t>The Federal Bank Ltd.</t>
  </si>
  <si>
    <t>Ratnakar Bank</t>
  </si>
  <si>
    <t>Yes Bank</t>
  </si>
  <si>
    <t>Standard Chartered Bank</t>
  </si>
  <si>
    <t>Citi Bank</t>
  </si>
  <si>
    <t>M.P.Co-operative Bank</t>
  </si>
  <si>
    <t>Uco Bank</t>
  </si>
  <si>
    <t>IDBI Bank</t>
  </si>
  <si>
    <t>Oriental Bank of Commerce</t>
  </si>
  <si>
    <t>Punjab &amp; Sind Bank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</si>
  <si>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</si>
  <si>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</si>
  <si>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</si>
  <si>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</si>
  <si>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</si>
  <si>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</si>
  <si>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</si>
  <si>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</si>
  <si>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 xml:space="preserve">The Jammu &amp; Kashmir Bank </t>
  </si>
  <si>
    <t>Karur Vysya Bank</t>
  </si>
  <si>
    <t>The South Indian Bank</t>
  </si>
  <si>
    <t>DCB Bank</t>
  </si>
  <si>
    <t xml:space="preserve">M G B </t>
  </si>
  <si>
    <t>NPA%</t>
  </si>
  <si>
    <t>SLBC Madhya Pradesh Convenor: Central Bank of India    TABLE: 1</t>
  </si>
  <si>
    <t>Amount</t>
  </si>
  <si>
    <t>Banks</t>
  </si>
  <si>
    <t>RELIEF MEASURES EXTENDED BY BANKS ON ACCOUNT OF NATURAL CALAMITIES IN MADHYA PRADESH</t>
  </si>
  <si>
    <t>Year 2014-15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</si>
  <si>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</si>
  <si>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</si>
  <si>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</si>
  <si>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</si>
  <si>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</si>
  <si>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</si>
  <si>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Bandan Bank</t>
  </si>
  <si>
    <t xml:space="preserve">TOTAL </t>
  </si>
  <si>
    <t>TABLE: 33</t>
  </si>
  <si>
    <t>TOTAL PS NPA</t>
  </si>
  <si>
    <t xml:space="preserve">                                                                 SLBC Madhya Pradesh. Convenor-Central Bank of India                                                               </t>
  </si>
  <si>
    <t>NPA %</t>
  </si>
  <si>
    <t>Year 2015-16 (31.03.2016)</t>
  </si>
  <si>
    <t>Sr.</t>
  </si>
  <si>
    <t>Achievement %</t>
  </si>
  <si>
    <t>Agri Infrastructure</t>
  </si>
  <si>
    <t>Ancillary Activities</t>
  </si>
  <si>
    <t>Number</t>
  </si>
  <si>
    <t>TABLE: 4</t>
  </si>
  <si>
    <t>Out of Farm Credit total Crop Loans</t>
  </si>
  <si>
    <t>Micro</t>
  </si>
  <si>
    <t>Small</t>
  </si>
  <si>
    <t>Medium</t>
  </si>
  <si>
    <t>KVIC</t>
  </si>
  <si>
    <t>Others</t>
  </si>
  <si>
    <t>Other MSME</t>
  </si>
  <si>
    <t>TABLE:5</t>
  </si>
  <si>
    <t>Amt. in Lakhs</t>
  </si>
  <si>
    <t>Export Credit</t>
  </si>
  <si>
    <t>Education</t>
  </si>
  <si>
    <t>Housing</t>
  </si>
  <si>
    <t>Social Infra</t>
  </si>
  <si>
    <t>Renewable Energy</t>
  </si>
  <si>
    <t>Total Priority Sector</t>
  </si>
  <si>
    <t>TABLE:6</t>
  </si>
  <si>
    <t>Number in Actual</t>
  </si>
  <si>
    <t>No. in actual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</si>
  <si>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</si>
  <si>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</si>
  <si>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</si>
  <si>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</si>
  <si>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</si>
  <si>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</si>
  <si>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</si>
  <si>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Total advances to weaker sections</t>
  </si>
  <si>
    <t>% of Total Pri Sec loans to total advances</t>
  </si>
  <si>
    <t>Agriculture</t>
  </si>
  <si>
    <t>Personal loans under NPS</t>
  </si>
  <si>
    <t>Total NPS</t>
  </si>
  <si>
    <t>Total MSME</t>
  </si>
  <si>
    <t>TABLE:10</t>
  </si>
  <si>
    <t>Achievement % (Amt.)</t>
  </si>
  <si>
    <t>ACHIVEMENT</t>
  </si>
  <si>
    <t>AGRI INFRASTRUCTURE</t>
  </si>
  <si>
    <t>TOTAL AGRICULTURE (Farm Credit+Agri Infr+Anci Acti)</t>
  </si>
  <si>
    <t>TABLE: 9(ii)</t>
  </si>
  <si>
    <t>Table: 9(i)</t>
  </si>
  <si>
    <t>TABLE:11(ii)</t>
  </si>
  <si>
    <t>TABLE:12</t>
  </si>
  <si>
    <t>Sr.No</t>
  </si>
  <si>
    <t>TABLE-14</t>
  </si>
  <si>
    <t>TABLE: 15</t>
  </si>
  <si>
    <t xml:space="preserve">                                             SLBC Madhya Pradesh. Convenor Central Bank of India                                                               </t>
  </si>
  <si>
    <t>TABLE:17</t>
  </si>
  <si>
    <t>TABLE-19</t>
  </si>
  <si>
    <t>MUSLIMS</t>
  </si>
  <si>
    <t>ZORASTRIANS</t>
  </si>
  <si>
    <t>TABLE-20</t>
  </si>
  <si>
    <t>TABLE-21</t>
  </si>
  <si>
    <t>SCHEDULED CASTE</t>
  </si>
  <si>
    <t>SCHEDULED TRIBES</t>
  </si>
  <si>
    <t>Table: 22</t>
  </si>
  <si>
    <t>Table: 23</t>
  </si>
  <si>
    <t>of which no of loans guaranteed by  MP STATE GOVT</t>
  </si>
  <si>
    <t>TABLE: 18</t>
  </si>
  <si>
    <t xml:space="preserve">Sr. No. </t>
  </si>
  <si>
    <t xml:space="preserve">Education Loan Outstanding </t>
  </si>
  <si>
    <t>Table: 24</t>
  </si>
  <si>
    <t>TABLE: 3(i)</t>
  </si>
  <si>
    <t>Other loans to weaker sections</t>
  </si>
  <si>
    <t>CROP LOANS (Out of Farm Credit)</t>
  </si>
  <si>
    <t>Punjab and Sindh Bank</t>
  </si>
  <si>
    <t>UCO Bank</t>
  </si>
  <si>
    <t>Bandhan Bank</t>
  </si>
  <si>
    <t>Catholic Syrian Bank</t>
  </si>
  <si>
    <t>Development Credit Bank</t>
  </si>
  <si>
    <t>Dhan Lakshmi Bank</t>
  </si>
  <si>
    <t>Federal Bank Ltd.</t>
  </si>
  <si>
    <t>Indusind Bank Limited</t>
  </si>
  <si>
    <t>Jammu and Kashmir Bank</t>
  </si>
  <si>
    <t>Karnataka Bank Limited</t>
  </si>
  <si>
    <t>Karur Vysya Bank Ltd.</t>
  </si>
  <si>
    <t>Lakshmi Vilas Bank</t>
  </si>
  <si>
    <t>Ratnakar Bank Ltd. (RBL)</t>
  </si>
  <si>
    <t>South Indian Bank</t>
  </si>
  <si>
    <t>Tamilnadu Mercantile Bank</t>
  </si>
  <si>
    <t>MGB</t>
  </si>
  <si>
    <t>SR</t>
  </si>
  <si>
    <t>SLBC, Madhya Pradesh Convenor-Central Bank of India</t>
  </si>
  <si>
    <t>SLBC, Madhya Pradesh  Convenor: Central Bank of India</t>
  </si>
  <si>
    <t>Amt</t>
  </si>
  <si>
    <t>No</t>
  </si>
  <si>
    <t>% of Agri adv. to total advance</t>
  </si>
  <si>
    <t>% of loans to weaker sections to total advance</t>
  </si>
  <si>
    <t>TABLE: 11(i)</t>
  </si>
  <si>
    <t>Sr</t>
  </si>
  <si>
    <t>Bank</t>
  </si>
  <si>
    <t>Target</t>
  </si>
  <si>
    <t>Savings Linked</t>
  </si>
  <si>
    <t>Credit Linked</t>
  </si>
  <si>
    <t>Current FY</t>
  </si>
  <si>
    <t>Sr. No.</t>
  </si>
  <si>
    <t>Name of the Bank</t>
  </si>
  <si>
    <t>Grand Total</t>
  </si>
  <si>
    <t>Deposits</t>
  </si>
  <si>
    <t>PRIVATE BANK SUB TOTAL</t>
  </si>
  <si>
    <t>PRIVATE BANK - SUB TOTAL</t>
  </si>
  <si>
    <t>CO-OPERATIVE BANK - SUB TOTAL</t>
  </si>
  <si>
    <t>PSBs - SUB TOTAL</t>
  </si>
  <si>
    <t>RRBs - SUB TOTAL</t>
  </si>
  <si>
    <t>% of Micro credit to total advances</t>
  </si>
  <si>
    <t>Sanctioned during the year (including application received during previous year)</t>
  </si>
  <si>
    <t>Individual woman beneficiary upto Rs. 1 Lakh (out of total loans o/s to women)</t>
  </si>
  <si>
    <t>Public Sector Banks</t>
  </si>
  <si>
    <t>SC</t>
  </si>
  <si>
    <t>ST</t>
  </si>
  <si>
    <t>IDBI Bank Ltd.</t>
  </si>
  <si>
    <t>IndusInd Bank</t>
  </si>
  <si>
    <t>RSETI</t>
  </si>
  <si>
    <t>Cummulative achievement since 01.04.11</t>
  </si>
  <si>
    <t>BPL</t>
  </si>
  <si>
    <t>APL</t>
  </si>
  <si>
    <t>OBC</t>
  </si>
  <si>
    <t>Minority</t>
  </si>
  <si>
    <t>BF</t>
  </si>
  <si>
    <t>SF</t>
  </si>
  <si>
    <t>WE</t>
  </si>
  <si>
    <t>Axis Bank Ltd</t>
  </si>
  <si>
    <t>City Union Bank Ltd</t>
  </si>
  <si>
    <t>Federal Bank Ltd</t>
  </si>
  <si>
    <t>HDFC Bank Ltd</t>
  </si>
  <si>
    <t>ICICI Bank Ltd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</si>
  <si>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</si>
  <si>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</si>
  <si>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</si>
  <si>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</si>
  <si>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</si>
  <si>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</si>
  <si>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</si>
  <si>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Regional Rural Banks</t>
  </si>
  <si>
    <t>Shishu</t>
  </si>
  <si>
    <t>Kishor</t>
  </si>
  <si>
    <t>Tarun</t>
  </si>
  <si>
    <t>Accounts</t>
  </si>
  <si>
    <t>IDBI Bank Limited</t>
  </si>
  <si>
    <t>Private Sector Banks</t>
  </si>
  <si>
    <t>Federal Bank</t>
  </si>
  <si>
    <t>IDFC Bank Limited</t>
  </si>
  <si>
    <t>Jammu &amp; Kashmir Bank</t>
  </si>
  <si>
    <t>Karnataka Bank</t>
  </si>
  <si>
    <t>MMYUY/MMSY</t>
  </si>
  <si>
    <t>NPA</t>
  </si>
  <si>
    <t>PMEGP</t>
  </si>
  <si>
    <t>CMRHM</t>
  </si>
  <si>
    <t>MUDRA LOANS</t>
  </si>
  <si>
    <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</si>
  <si>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Bank Name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</si>
  <si>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</si>
  <si>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</si>
  <si>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</si>
  <si>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</si>
  <si>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</si>
  <si>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Airtel Payment Bank</t>
  </si>
  <si>
    <t>DCB Bank Limited</t>
  </si>
  <si>
    <t>Dhanalakshmi Bank Ltd</t>
  </si>
  <si>
    <t>IDFC Bank Ltd.</t>
  </si>
  <si>
    <t>Number in lakh</t>
  </si>
  <si>
    <t>BANK WISE AADHAAR AUTHENTICATION STATUS AS ON 31.12.2017</t>
  </si>
  <si>
    <t>Page-98</t>
  </si>
  <si>
    <t>Difference</t>
  </si>
  <si>
    <t>BF-Bank Finance</t>
  </si>
  <si>
    <t>SF-Self Employed</t>
  </si>
  <si>
    <t>WE-Wage Employed</t>
  </si>
  <si>
    <t>District</t>
  </si>
  <si>
    <t>Barwani</t>
  </si>
  <si>
    <t>Bhopal</t>
  </si>
  <si>
    <t>Chhatarpur</t>
  </si>
  <si>
    <t>Dewas</t>
  </si>
  <si>
    <t>Dhar</t>
  </si>
  <si>
    <t>Gwalior</t>
  </si>
  <si>
    <t>Indore</t>
  </si>
  <si>
    <t>Jabalpur</t>
  </si>
  <si>
    <t>Katni</t>
  </si>
  <si>
    <t>Mandsaur</t>
  </si>
  <si>
    <t>Raisen</t>
  </si>
  <si>
    <t>Ratlam</t>
  </si>
  <si>
    <t>Rewa</t>
  </si>
  <si>
    <t>Seoni</t>
  </si>
  <si>
    <t>Shahdol</t>
  </si>
  <si>
    <t>Sidhi</t>
  </si>
  <si>
    <t>Singrauli</t>
  </si>
  <si>
    <t>Ujjain</t>
  </si>
  <si>
    <t>Sanctioned amount in lakh</t>
  </si>
  <si>
    <t>Ujjivan Small Finance Bank</t>
  </si>
  <si>
    <t>Catholic Syrian Bank Ltd</t>
  </si>
  <si>
    <t>Tamilnadu Mercantile Bank Ltd</t>
  </si>
  <si>
    <t>Number in Lakh</t>
  </si>
  <si>
    <t>AU Small Finance Bank</t>
  </si>
  <si>
    <t>Equitas Small Finance Bank</t>
  </si>
  <si>
    <t>Fincare Small Finance Bank</t>
  </si>
  <si>
    <t>Jana Small Finance Bank</t>
  </si>
  <si>
    <t>Suryoday Small Finance Bank</t>
  </si>
  <si>
    <t>Utkarsh Small Finance Bank</t>
  </si>
  <si>
    <t>SMALL FINANCE BANK SUB TOTAL</t>
  </si>
  <si>
    <t>COMMERCIAL BANKS SUB TOTAL</t>
  </si>
  <si>
    <t>DCCB &amp; Apex Bank</t>
  </si>
  <si>
    <t xml:space="preserve">TARGET </t>
  </si>
  <si>
    <t>SR.</t>
  </si>
  <si>
    <t>PSBs SUB TOTAL</t>
  </si>
  <si>
    <t>PVBs SUB TOTAL</t>
  </si>
  <si>
    <t>RRBs SUB TOTAL</t>
  </si>
  <si>
    <t>Female</t>
  </si>
  <si>
    <t>Male</t>
  </si>
  <si>
    <t>Sanc. Amount</t>
  </si>
  <si>
    <t>Stand-up India Scheme- District wise progress FY 2018-19</t>
  </si>
  <si>
    <t>District Name</t>
  </si>
  <si>
    <t>Advancs</t>
  </si>
  <si>
    <t>CD Ratio</t>
  </si>
  <si>
    <t>Rs. In Lakhs</t>
  </si>
  <si>
    <t>Name of Bank/HFC</t>
  </si>
  <si>
    <t>No. of Cases Disbursed</t>
  </si>
  <si>
    <t>Loan Sanctioned</t>
  </si>
  <si>
    <t>Subsidy Released</t>
  </si>
  <si>
    <t>GRUH Finance Ltd.</t>
  </si>
  <si>
    <t>Housing Development Finance Corporation Ltd.</t>
  </si>
  <si>
    <t>India Infoline Housing Finance Ltd.</t>
  </si>
  <si>
    <t>India Bulls Housing Finance Ltd.</t>
  </si>
  <si>
    <t>Aadhar Housing Finance Ltd.</t>
  </si>
  <si>
    <t>Tata Capital Housing Finance Ltd.</t>
  </si>
  <si>
    <t>Dewan Housing Finance Corporation Ltd.</t>
  </si>
  <si>
    <t>Shubham Housing Development Finance Company Pvt. Ltd.</t>
  </si>
  <si>
    <t>Axis Bank Ltd.</t>
  </si>
  <si>
    <t>Aspire Home Finance Corporation Ltd.</t>
  </si>
  <si>
    <t>LIC Housing Finance Ltd.</t>
  </si>
  <si>
    <t>Home First Finance Company India Pvt. Ltd.</t>
  </si>
  <si>
    <t>ICICI Bank Ltd.</t>
  </si>
  <si>
    <t>AU Housing Finance Ltd.</t>
  </si>
  <si>
    <t>Narmada Jhabua Gramin Bank</t>
  </si>
  <si>
    <t>Micro Housing Finance Corporation Ltd.</t>
  </si>
  <si>
    <t>Mentor Home Loans India Ltd.</t>
  </si>
  <si>
    <t>Can Fin Homes Ltd.</t>
  </si>
  <si>
    <t>PNB Housing Finance Ltd.</t>
  </si>
  <si>
    <t>Reliance Home Finance Ltd.</t>
  </si>
  <si>
    <t>Shriram Housing Finance Ltd.</t>
  </si>
  <si>
    <t xml:space="preserve">Centrum Housing Finance Ltd. </t>
  </si>
  <si>
    <t>Cent Bank Home Finance Ltd.</t>
  </si>
  <si>
    <t>GIC Housing Finance Ltd.</t>
  </si>
  <si>
    <t>ICICI Home Finance Company Ltd.</t>
  </si>
  <si>
    <t>Repco Home Finance Ltd.</t>
  </si>
  <si>
    <t>Muthoot Housing Finance Company  Ltd.</t>
  </si>
  <si>
    <t>SEWA Grih Rin Ltd.</t>
  </si>
  <si>
    <t>Equitas Housing Finance Pvt. Ltd.</t>
  </si>
  <si>
    <t xml:space="preserve">Equitas Small Finance Bank </t>
  </si>
  <si>
    <t>Madhyanchal Gramin Bank</t>
  </si>
  <si>
    <t>Central Madhya Pradesh Gramin Bank</t>
  </si>
  <si>
    <t>Kotak Mahindra Bank Ltd.</t>
  </si>
  <si>
    <t>Mahindra Rural Housing Finance Ltd.</t>
  </si>
  <si>
    <t>Sundaram BNP Paribas Home Finance Ltd.</t>
  </si>
  <si>
    <t>Aditya Birla Housing Finance Ltd.</t>
  </si>
  <si>
    <t>Capital First Home Finance Ltd.</t>
  </si>
  <si>
    <t>Karnataka Bank Ltd.</t>
  </si>
  <si>
    <t>Vastu Housing Finance Corporation Ltd.</t>
  </si>
  <si>
    <t>Bhartiya Mahila Bank Ltd.</t>
  </si>
  <si>
    <t>India Shelter Finance Corporation Ltd.</t>
  </si>
  <si>
    <t xml:space="preserve">Magma Housing Finance </t>
  </si>
  <si>
    <t>Muthoot Homefin(India) Ltd.</t>
  </si>
  <si>
    <t xml:space="preserve">Shivalik Mercantile Co-Operative Bank </t>
  </si>
  <si>
    <t>State Bank of Patiala</t>
  </si>
  <si>
    <t>Page-</t>
  </si>
  <si>
    <t xml:space="preserve">As on 30.09.2018 </t>
  </si>
  <si>
    <t>PRADHAN MANTRI AWAS YOJANA-URBAN AS ON 30.09.2018</t>
  </si>
  <si>
    <t>BANK WISE CASA AND AADHAAR AUTHENTICATION AS ON 30.09.2018</t>
  </si>
  <si>
    <t>IDFC First Bank</t>
  </si>
  <si>
    <t xml:space="preserve">Amount in lakh </t>
  </si>
  <si>
    <t xml:space="preserve">        Numbers in actual &amp; Disbursed amount in Crore</t>
  </si>
  <si>
    <t>MPGB</t>
  </si>
  <si>
    <t>ESAF</t>
  </si>
  <si>
    <t>Madhya Pradesh Gramin Bank</t>
  </si>
  <si>
    <t>INDIA POST PAYMENT BANK</t>
  </si>
  <si>
    <t>PAYMENT BANK - SUB TOTAL</t>
  </si>
  <si>
    <t>AGAR MALWA</t>
  </si>
  <si>
    <t>ALIRAJPUR</t>
  </si>
  <si>
    <t>ANUPPUR</t>
  </si>
  <si>
    <t>ASHOK 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</si>
  <si>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</si>
  <si>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</si>
  <si>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</si>
  <si>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</si>
  <si>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</si>
  <si>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</si>
  <si>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</si>
  <si>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</si>
  <si>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</si>
  <si>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</si>
  <si>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</si>
  <si>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</si>
  <si>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</si>
  <si>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</si>
  <si>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</si>
  <si>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</si>
  <si>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</si>
  <si>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</si>
  <si>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</si>
  <si>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</si>
  <si>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</si>
  <si>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</si>
  <si>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</si>
  <si>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MANDLA</t>
  </si>
  <si>
    <t>MANDSAUR</t>
  </si>
  <si>
    <t>MORENA</t>
  </si>
  <si>
    <t>NARSINGHPUR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</si>
  <si>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</si>
  <si>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</si>
  <si>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</si>
  <si>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</si>
  <si>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</si>
  <si>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</si>
  <si>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</si>
  <si>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</si>
  <si>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</si>
  <si>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</si>
  <si>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</si>
  <si>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</si>
  <si>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</si>
  <si>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 KALA</t>
  </si>
  <si>
    <t>SHIVPURI</t>
  </si>
  <si>
    <t>SIDHI</t>
  </si>
  <si>
    <t>SINGRAULI</t>
  </si>
  <si>
    <t>TIKAMGARH</t>
  </si>
  <si>
    <t>UJJAIN</t>
  </si>
  <si>
    <t>UMARIA</t>
  </si>
  <si>
    <t>VIDISHA</t>
  </si>
  <si>
    <t>As on 31.03.2021</t>
  </si>
  <si>
    <t>PROGRESS OF RURAL SELF EMPLOYMENT TRAINING INSTITUTES (RSETIs) IN THE STATE OF MADHYA PRADESH AS ON MAR- 2021</t>
  </si>
  <si>
    <t>Targets                 FY 2020-21</t>
  </si>
  <si>
    <t>Achievement FY-2020-21</t>
  </si>
  <si>
    <t>Dep</t>
  </si>
  <si>
    <t>Adv</t>
  </si>
  <si>
    <t>Outstanding upto the end of the current quarter (Amt in Lakh)</t>
  </si>
  <si>
    <t>Actual</t>
  </si>
  <si>
    <t>Diff</t>
  </si>
  <si>
    <t>Page</t>
  </si>
  <si>
    <t>Outstanding (Amt.)</t>
  </si>
  <si>
    <t>Outstanding loans to Women</t>
  </si>
  <si>
    <t>  14  </t>
  </si>
  <si>
    <t>  8  </t>
  </si>
  <si>
    <t>  127  </t>
  </si>
  <si>
    <t>  29  </t>
  </si>
  <si>
    <t>  153  </t>
  </si>
  <si>
    <t>  236  </t>
  </si>
  <si>
    <t>  6884  </t>
  </si>
  <si>
    <t>  4836  </t>
  </si>
  <si>
    <t>  1508  </t>
  </si>
  <si>
    <t>  3328  </t>
  </si>
  <si>
    <t>  183  </t>
  </si>
  <si>
    <t>  461  </t>
  </si>
  <si>
    <t>  39  </t>
  </si>
  <si>
    <t>  3  </t>
  </si>
  <si>
    <t>  458  </t>
  </si>
  <si>
    <t>  169  </t>
  </si>
  <si>
    <t>  5028  </t>
  </si>
  <si>
    <t>  3371  </t>
  </si>
  <si>
    <t>  1893  </t>
  </si>
  <si>
    <t>  1478  </t>
  </si>
  <si>
    <t>  22  </t>
  </si>
  <si>
    <t>  13  </t>
  </si>
  <si>
    <t>  376  </t>
  </si>
  <si>
    <t>  7  </t>
  </si>
  <si>
    <t>  362  </t>
  </si>
  <si>
    <t>  6  </t>
  </si>
  <si>
    <t>  234  </t>
  </si>
  <si>
    <t>  6887  </t>
  </si>
  <si>
    <t>  4814  </t>
  </si>
  <si>
    <t>  1485  </t>
  </si>
  <si>
    <t>  3329  </t>
  </si>
  <si>
    <t>  57  </t>
  </si>
  <si>
    <t>  17  </t>
  </si>
  <si>
    <t>  451  </t>
  </si>
  <si>
    <t>  5  </t>
  </si>
  <si>
    <t>  354  </t>
  </si>
  <si>
    <t>  88  </t>
  </si>
  <si>
    <t>  177  </t>
  </si>
  <si>
    <t>  4920  </t>
  </si>
  <si>
    <t>  3403  </t>
  </si>
  <si>
    <t>  1062  </t>
  </si>
  <si>
    <t>  2341  </t>
  </si>
  <si>
    <t>  68  </t>
  </si>
  <si>
    <t>  84  </t>
  </si>
  <si>
    <t>  2398  </t>
  </si>
  <si>
    <t>  1912  </t>
  </si>
  <si>
    <t>  1302  </t>
  </si>
  <si>
    <t>  610  </t>
  </si>
  <si>
    <t>  111  </t>
  </si>
  <si>
    <t>  19  </t>
  </si>
  <si>
    <t>  455  </t>
  </si>
  <si>
    <t>  70  </t>
  </si>
  <si>
    <t>  43  </t>
  </si>
  <si>
    <t>  294  </t>
  </si>
  <si>
    <t>  37  </t>
  </si>
  <si>
    <t>  208  </t>
  </si>
  <si>
    <t>  5596  </t>
  </si>
  <si>
    <t>  4144  </t>
  </si>
  <si>
    <t>  1439  </t>
  </si>
  <si>
    <t>  2705  </t>
  </si>
  <si>
    <t>  187  </t>
  </si>
  <si>
    <t>  501  </t>
  </si>
  <si>
    <t>  4  </t>
  </si>
  <si>
    <t>  231  </t>
  </si>
  <si>
    <t>  64  </t>
  </si>
  <si>
    <t>  133  </t>
  </si>
  <si>
    <t>  49  </t>
  </si>
  <si>
    <t>  193  </t>
  </si>
  <si>
    <t>  5500  </t>
  </si>
  <si>
    <t>  3897  </t>
  </si>
  <si>
    <t>  1894  </t>
  </si>
  <si>
    <t>  2003  </t>
  </si>
  <si>
    <t>  160  </t>
  </si>
  <si>
    <t>  16  </t>
  </si>
  <si>
    <t>  410  </t>
  </si>
  <si>
    <t>  10  </t>
  </si>
  <si>
    <t>  51  </t>
  </si>
  <si>
    <t>  277  </t>
  </si>
  <si>
    <t>  44  </t>
  </si>
  <si>
    <t>  11  </t>
  </si>
  <si>
    <t>  5059  </t>
  </si>
  <si>
    <t>  3414  </t>
  </si>
  <si>
    <t>  1158  </t>
  </si>
  <si>
    <t>  2256  </t>
  </si>
  <si>
    <t>  15  </t>
  </si>
  <si>
    <t>  460  </t>
  </si>
  <si>
    <t>  151  </t>
  </si>
  <si>
    <t>  237  </t>
  </si>
  <si>
    <t>  6209  </t>
  </si>
  <si>
    <t>  4250  </t>
  </si>
  <si>
    <t>  1781  </t>
  </si>
  <si>
    <t>  2469  </t>
  </si>
  <si>
    <t>  18  </t>
  </si>
  <si>
    <t>  454  </t>
  </si>
  <si>
    <t>  167  </t>
  </si>
  <si>
    <t>  69  </t>
  </si>
  <si>
    <t>  50  </t>
  </si>
  <si>
    <t>  135  </t>
  </si>
  <si>
    <t>  244  </t>
  </si>
  <si>
    <t>  1  </t>
  </si>
  <si>
    <t>  194  </t>
  </si>
  <si>
    <t>  5405  </t>
  </si>
  <si>
    <t>  3981  </t>
  </si>
  <si>
    <t>  1459  </t>
  </si>
  <si>
    <t>  2522  </t>
  </si>
  <si>
    <t>  239  </t>
  </si>
  <si>
    <t>  107  </t>
  </si>
  <si>
    <t>  313  </t>
  </si>
  <si>
    <t>  257  </t>
  </si>
  <si>
    <t>  7821  </t>
  </si>
  <si>
    <t>  6455  </t>
  </si>
  <si>
    <t>  4978  </t>
  </si>
  <si>
    <t>  1477  </t>
  </si>
  <si>
    <t>  189  </t>
  </si>
  <si>
    <t>  12  </t>
  </si>
  <si>
    <t>  308  </t>
  </si>
  <si>
    <t>  66  </t>
  </si>
  <si>
    <t>  113  </t>
  </si>
  <si>
    <t>  2  </t>
  </si>
  <si>
    <t>  170  </t>
  </si>
  <si>
    <t>  158  </t>
  </si>
  <si>
    <t>  4783  </t>
  </si>
  <si>
    <t>  3323  </t>
  </si>
  <si>
    <t>  2212  </t>
  </si>
  <si>
    <t>  1111  </t>
  </si>
  <si>
    <t>  63  </t>
  </si>
  <si>
    <t>  453  </t>
  </si>
  <si>
    <t>  121  </t>
  </si>
  <si>
    <t>  179  </t>
  </si>
  <si>
    <t>  174  </t>
  </si>
  <si>
    <t>  5556  </t>
  </si>
  <si>
    <t>  4179  </t>
  </si>
  <si>
    <t>  1831  </t>
  </si>
  <si>
    <t>  2348  </t>
  </si>
  <si>
    <t>  387  </t>
  </si>
  <si>
    <t>  486  </t>
  </si>
  <si>
    <t>  306  </t>
  </si>
  <si>
    <t>  9  </t>
  </si>
  <si>
    <t>  161  </t>
  </si>
  <si>
    <t>  201  </t>
  </si>
  <si>
    <t>  5058  </t>
  </si>
  <si>
    <t>  3547  </t>
  </si>
  <si>
    <t>  1777  </t>
  </si>
  <si>
    <t>  1770  </t>
  </si>
  <si>
    <t>  372  </t>
  </si>
  <si>
    <t>  40  </t>
  </si>
  <si>
    <t>  211  </t>
  </si>
  <si>
    <t>  100  </t>
  </si>
  <si>
    <t>  165  </t>
  </si>
  <si>
    <t>  4205  </t>
  </si>
  <si>
    <t>  3246  </t>
  </si>
  <si>
    <t>  1457  </t>
  </si>
  <si>
    <t>  1789  </t>
  </si>
  <si>
    <t>  147  </t>
  </si>
  <si>
    <t>  457  </t>
  </si>
  <si>
    <t>  93  </t>
  </si>
  <si>
    <t>  391  </t>
  </si>
  <si>
    <t>  5429  </t>
  </si>
  <si>
    <t>  3797  </t>
  </si>
  <si>
    <t>  1751  </t>
  </si>
  <si>
    <t>  2046  </t>
  </si>
  <si>
    <t>  129  </t>
  </si>
  <si>
    <t>  405  </t>
  </si>
  <si>
    <t>  150  </t>
  </si>
  <si>
    <t>  166  </t>
  </si>
  <si>
    <t>  4238  </t>
  </si>
  <si>
    <t>  2675  </t>
  </si>
  <si>
    <t>  1150  </t>
  </si>
  <si>
    <t>  1525  </t>
  </si>
  <si>
    <t>  -  </t>
  </si>
  <si>
    <t>  325  </t>
  </si>
  <si>
    <t>  204  </t>
  </si>
  <si>
    <t>  134  </t>
  </si>
  <si>
    <t>  144  </t>
  </si>
  <si>
    <t>  3964  </t>
  </si>
  <si>
    <t>  2470  </t>
  </si>
  <si>
    <t>  1089  </t>
  </si>
  <si>
    <t>  1381  </t>
  </si>
  <si>
    <t>  116  </t>
  </si>
  <si>
    <t>  343  </t>
  </si>
  <si>
    <t>  125  </t>
  </si>
  <si>
    <t>  148  </t>
  </si>
  <si>
    <t>  163  </t>
  </si>
  <si>
    <t>  4542  </t>
  </si>
  <si>
    <t>  2691  </t>
  </si>
  <si>
    <t>  1022  </t>
  </si>
  <si>
    <t>  1669  </t>
  </si>
  <si>
    <t>  137  </t>
  </si>
  <si>
    <t>  421  </t>
  </si>
  <si>
    <t>  271  </t>
  </si>
  <si>
    <t>  216  </t>
  </si>
  <si>
    <t>  6071  </t>
  </si>
  <si>
    <t>  3944  </t>
  </si>
  <si>
    <t>  1638  </t>
  </si>
  <si>
    <t>  2306  </t>
  </si>
  <si>
    <t>  25  </t>
  </si>
  <si>
    <t>  490  </t>
  </si>
  <si>
    <t>  198  </t>
  </si>
  <si>
    <t>  97  </t>
  </si>
  <si>
    <t>  71  </t>
  </si>
  <si>
    <t>  35  </t>
  </si>
  <si>
    <t>  221  </t>
  </si>
  <si>
    <t>  5521  </t>
  </si>
  <si>
    <t>  3382  </t>
  </si>
  <si>
    <t>  2080  </t>
  </si>
  <si>
    <t>  89  </t>
  </si>
  <si>
    <t>  360  </t>
  </si>
  <si>
    <t>  181  </t>
  </si>
  <si>
    <t>  38  </t>
  </si>
  <si>
    <t>  172  </t>
  </si>
  <si>
    <t>  217  </t>
  </si>
  <si>
    <t>  5581  </t>
  </si>
  <si>
    <t>  3737  </t>
  </si>
  <si>
    <t>  2100  </t>
  </si>
  <si>
    <t>  1637  </t>
  </si>
  <si>
    <t>  383  </t>
  </si>
  <si>
    <t>  77  </t>
  </si>
  <si>
    <t>  56  </t>
  </si>
  <si>
    <t>  141  </t>
  </si>
  <si>
    <t>  162  </t>
  </si>
  <si>
    <t>  5910  </t>
  </si>
  <si>
    <t>  3811  </t>
  </si>
  <si>
    <t>  2972  </t>
  </si>
  <si>
    <t>  839  </t>
  </si>
  <si>
    <t>  159  </t>
  </si>
  <si>
    <t>  316  </t>
  </si>
  <si>
    <t>  74  </t>
  </si>
  <si>
    <t>  168  </t>
  </si>
  <si>
    <t>  171  </t>
  </si>
  <si>
    <t>  4651  </t>
  </si>
  <si>
    <t>  3049  </t>
  </si>
  <si>
    <t>  1254  </t>
  </si>
  <si>
    <t>  1795  </t>
  </si>
  <si>
    <t>  67  </t>
  </si>
  <si>
    <t>  353  </t>
  </si>
  <si>
    <t>  80  </t>
  </si>
  <si>
    <t>  154  </t>
  </si>
  <si>
    <t>  191  </t>
  </si>
  <si>
    <t>  5466  </t>
  </si>
  <si>
    <t>  3497  </t>
  </si>
  <si>
    <t>  1340  </t>
  </si>
  <si>
    <t>  2157  </t>
  </si>
  <si>
    <t>  514  </t>
  </si>
  <si>
    <t>  228  </t>
  </si>
  <si>
    <t>  5044  </t>
  </si>
  <si>
    <t>  3461  </t>
  </si>
  <si>
    <t>  1102  </t>
  </si>
  <si>
    <t>  2359  </t>
  </si>
  <si>
    <t>  276  </t>
  </si>
  <si>
    <t>  85  </t>
  </si>
  <si>
    <t>  32  </t>
  </si>
  <si>
    <t>  212  </t>
  </si>
  <si>
    <t>  6462  </t>
  </si>
  <si>
    <t>  4972  </t>
  </si>
  <si>
    <t>  3343  </t>
  </si>
  <si>
    <t>  1629  </t>
  </si>
  <si>
    <t>  175  </t>
  </si>
  <si>
    <t>  304  </t>
  </si>
  <si>
    <t>  23  </t>
  </si>
  <si>
    <t>  46  </t>
  </si>
  <si>
    <t>  99  </t>
  </si>
  <si>
    <t>  192  </t>
  </si>
  <si>
    <t>  5966  </t>
  </si>
  <si>
    <t>  3825  </t>
  </si>
  <si>
    <t>  2806  </t>
  </si>
  <si>
    <t>  1019  </t>
  </si>
  <si>
    <t>  279  </t>
  </si>
  <si>
    <t>  45  </t>
  </si>
  <si>
    <t>  58  </t>
  </si>
  <si>
    <t>  210  </t>
  </si>
  <si>
    <t>  256  </t>
  </si>
  <si>
    <t>  7016  </t>
  </si>
  <si>
    <t>  5492  </t>
  </si>
  <si>
    <t>  3086  </t>
  </si>
  <si>
    <t>  2406  </t>
  </si>
  <si>
    <t>  203  </t>
  </si>
  <si>
    <t>  173  </t>
  </si>
  <si>
    <t>  126  </t>
  </si>
  <si>
    <t>  6680  </t>
  </si>
  <si>
    <t>  4602  </t>
  </si>
  <si>
    <t>  2524  </t>
  </si>
  <si>
    <t>  2078  </t>
  </si>
  <si>
    <t>  55  </t>
  </si>
  <si>
    <t>  314  </t>
  </si>
  <si>
    <t>  139  </t>
  </si>
  <si>
    <t>  72  </t>
  </si>
  <si>
    <t>  34  </t>
  </si>
  <si>
    <t>  105  </t>
  </si>
  <si>
    <t>  4594  </t>
  </si>
  <si>
    <t>  3191  </t>
  </si>
  <si>
    <t>  1246  </t>
  </si>
  <si>
    <t>  1945  </t>
  </si>
  <si>
    <t>  358  </t>
  </si>
  <si>
    <t>  233  </t>
  </si>
  <si>
    <t>  6951  </t>
  </si>
  <si>
    <t>  4358  </t>
  </si>
  <si>
    <t>  1808  </t>
  </si>
  <si>
    <t>  2550  </t>
  </si>
  <si>
    <t>  502  </t>
  </si>
  <si>
    <t>  250  </t>
  </si>
  <si>
    <t>  326  </t>
  </si>
  <si>
    <t>  8754  </t>
  </si>
  <si>
    <t>  5460  </t>
  </si>
  <si>
    <t>  586  </t>
  </si>
  <si>
    <t>  651  </t>
  </si>
  <si>
    <t>  42  </t>
  </si>
  <si>
    <t>  368  </t>
  </si>
  <si>
    <t>  24  </t>
  </si>
  <si>
    <t>  345  </t>
  </si>
  <si>
    <t>  9680  </t>
  </si>
  <si>
    <t>  6570  </t>
  </si>
  <si>
    <t>  2369  </t>
  </si>
  <si>
    <t>  4201  </t>
  </si>
  <si>
    <t>  1483  </t>
  </si>
  <si>
    <t>  255  </t>
  </si>
  <si>
    <t>  90  </t>
  </si>
  <si>
    <t>  130  </t>
  </si>
  <si>
    <t>  186  </t>
  </si>
  <si>
    <t>  4642  </t>
  </si>
  <si>
    <t>  2886  </t>
  </si>
  <si>
    <t>  1199  </t>
  </si>
  <si>
    <t>  1687  </t>
  </si>
  <si>
    <t>  447  </t>
  </si>
  <si>
    <t>  414  </t>
  </si>
  <si>
    <t>  119  </t>
  </si>
  <si>
    <t>  222  </t>
  </si>
  <si>
    <t>  240  </t>
  </si>
  <si>
    <t>  6809  </t>
  </si>
  <si>
    <t>  4431  </t>
  </si>
  <si>
    <t>  1807  </t>
  </si>
  <si>
    <t>  2637  </t>
  </si>
  <si>
    <t>  307  </t>
  </si>
  <si>
    <t>  305  </t>
  </si>
  <si>
    <t>  61  </t>
  </si>
  <si>
    <t>  7069  </t>
  </si>
  <si>
    <t>  4592  </t>
  </si>
  <si>
    <t>  1406  </t>
  </si>
  <si>
    <t>  3186  </t>
  </si>
  <si>
    <t>  1359  </t>
  </si>
  <si>
    <t>  54  </t>
  </si>
  <si>
    <t>  36  </t>
  </si>
  <si>
    <t>  136  </t>
  </si>
  <si>
    <t>  195  </t>
  </si>
  <si>
    <t>  5623  </t>
  </si>
  <si>
    <t>  3430  </t>
  </si>
  <si>
    <t>  1015  </t>
  </si>
  <si>
    <t>  2415  </t>
  </si>
  <si>
    <t>  1021  </t>
  </si>
  <si>
    <t>  52  </t>
  </si>
  <si>
    <t>  81  </t>
  </si>
  <si>
    <t>  164  </t>
  </si>
  <si>
    <t>  4163  </t>
  </si>
  <si>
    <t>  2658  </t>
  </si>
  <si>
    <t>  710  </t>
  </si>
  <si>
    <t>  1948  </t>
  </si>
  <si>
    <t>  247  </t>
  </si>
  <si>
    <t>  21  </t>
  </si>
  <si>
    <t>  592  </t>
  </si>
  <si>
    <t>  5868  </t>
  </si>
  <si>
    <t>  4256  </t>
  </si>
  <si>
    <t>  1833  </t>
  </si>
  <si>
    <t>  2423  </t>
  </si>
  <si>
    <t>  337  </t>
  </si>
  <si>
    <t>  328  </t>
  </si>
  <si>
    <t>  30  </t>
  </si>
  <si>
    <t>  185  </t>
  </si>
  <si>
    <t>  4684  </t>
  </si>
  <si>
    <t>  3025  </t>
  </si>
  <si>
    <t>  1014  </t>
  </si>
  <si>
    <t>  2011  </t>
  </si>
  <si>
    <t>  850  </t>
  </si>
  <si>
    <t>  3077  </t>
  </si>
  <si>
    <t>  1326  </t>
  </si>
  <si>
    <t>  351  </t>
  </si>
  <si>
    <t>  87  </t>
  </si>
  <si>
    <t>  5880  </t>
  </si>
  <si>
    <t>  3828  </t>
  </si>
  <si>
    <t>  1625  </t>
  </si>
  <si>
    <t>  2203  </t>
  </si>
  <si>
    <t>  303  </t>
  </si>
  <si>
    <t>  75  </t>
  </si>
  <si>
    <t>  188  </t>
  </si>
  <si>
    <t>  5064  </t>
  </si>
  <si>
    <t>  3064  </t>
  </si>
  <si>
    <t>  1352  </t>
  </si>
  <si>
    <t>  1712  </t>
  </si>
  <si>
    <t>  268  </t>
  </si>
  <si>
    <t>  366  </t>
  </si>
  <si>
    <t>  109  </t>
  </si>
  <si>
    <t>  219  </t>
  </si>
  <si>
    <t>  6022  </t>
  </si>
  <si>
    <t>  4037  </t>
  </si>
  <si>
    <t>  1417  </t>
  </si>
  <si>
    <t>  2620  </t>
  </si>
  <si>
    <t>  363  </t>
  </si>
  <si>
    <t>  190  </t>
  </si>
  <si>
    <t>  5499  </t>
  </si>
  <si>
    <t>  3968  </t>
  </si>
  <si>
    <t>  1210  </t>
  </si>
  <si>
    <t>  2758  </t>
  </si>
  <si>
    <t>  466  </t>
  </si>
  <si>
    <t>  373  </t>
  </si>
  <si>
    <t>  28  </t>
  </si>
  <si>
    <t>  4768  </t>
  </si>
  <si>
    <t>  3352  </t>
  </si>
  <si>
    <t>  1630  </t>
  </si>
  <si>
    <t>  1722  </t>
  </si>
  <si>
    <t>  346  </t>
  </si>
  <si>
    <t>  450  </t>
  </si>
  <si>
    <t>  120  </t>
  </si>
  <si>
    <t>  245  </t>
  </si>
  <si>
    <t>  6689  </t>
  </si>
  <si>
    <t>  4362  </t>
  </si>
  <si>
    <t>  1785  </t>
  </si>
  <si>
    <t>  2577  </t>
  </si>
  <si>
    <t>  558  </t>
  </si>
  <si>
    <t>  33  </t>
  </si>
  <si>
    <t>  196  </t>
  </si>
  <si>
    <t>  5404  </t>
  </si>
  <si>
    <t>  3213  </t>
  </si>
  <si>
    <t>  1041  </t>
  </si>
  <si>
    <t>  2172  </t>
  </si>
  <si>
    <t>  218  </t>
  </si>
  <si>
    <t>  300  </t>
  </si>
  <si>
    <t>  176  </t>
  </si>
  <si>
    <t>  5062  </t>
  </si>
  <si>
    <t>  3308  </t>
  </si>
  <si>
    <t>  1343  </t>
  </si>
  <si>
    <t>  1965  </t>
  </si>
  <si>
    <t>  128  </t>
  </si>
  <si>
    <t>  155  </t>
  </si>
  <si>
    <t>  106  </t>
  </si>
  <si>
    <t>  209  </t>
  </si>
  <si>
    <t>  4819  </t>
  </si>
  <si>
    <t>  3593  </t>
  </si>
  <si>
    <t>  1441  </t>
  </si>
  <si>
    <t>  2152  </t>
  </si>
  <si>
    <t>  413  </t>
  </si>
  <si>
    <t>  704  </t>
  </si>
  <si>
    <t>  19215  </t>
  </si>
  <si>
    <t>  2564  </t>
  </si>
  <si>
    <t>  4271  </t>
  </si>
  <si>
    <t>  4960  </t>
  </si>
  <si>
    <t>  7795  </t>
  </si>
  <si>
    <t>  438  </t>
  </si>
  <si>
    <t>  10342  </t>
  </si>
  <si>
    <t>  286814  </t>
  </si>
  <si>
    <t>  194836  </t>
  </si>
  <si>
    <t>  87116  </t>
  </si>
  <si>
    <t>  107733  </t>
  </si>
  <si>
    <t>  13837  </t>
  </si>
  <si>
    <t>No.ofpro.</t>
  </si>
  <si>
    <t>No.ofpro</t>
  </si>
  <si>
    <t>No.ofcanidatestrained</t>
  </si>
  <si>
    <t>ALHBSatna</t>
  </si>
  <si>
    <t>BOBAlirajpur</t>
  </si>
  <si>
    <t>BOBJhabua</t>
  </si>
  <si>
    <t>BOIBarwani</t>
  </si>
  <si>
    <t>BOIBhopal</t>
  </si>
  <si>
    <t>BOIBurhanpur</t>
  </si>
  <si>
    <t>BOIDewas</t>
  </si>
  <si>
    <t>BOIDhar</t>
  </si>
  <si>
    <t>BOIKhandwa</t>
  </si>
  <si>
    <t>BOIKhargone</t>
  </si>
  <si>
    <t>BOIRajgarh</t>
  </si>
  <si>
    <t>BOISehore</t>
  </si>
  <si>
    <t>BOIShajapur</t>
  </si>
  <si>
    <t>BOIUjjain</t>
  </si>
  <si>
    <t>CBIAnuppur</t>
  </si>
  <si>
    <t>CBIBalaghat</t>
  </si>
  <si>
    <t>CBIBetul</t>
  </si>
  <si>
    <t>CBIBhind</t>
  </si>
  <si>
    <t>CBIChhindwara</t>
  </si>
  <si>
    <t>CBIDindori</t>
  </si>
  <si>
    <t>CBIGwalior</t>
  </si>
  <si>
    <t>CBIHoshangabad</t>
  </si>
  <si>
    <t>CBIJabalpur</t>
  </si>
  <si>
    <t>CBIMandla</t>
  </si>
  <si>
    <t>CBIMandsaur</t>
  </si>
  <si>
    <t>CBIMorena</t>
  </si>
  <si>
    <t>CBINarsinghpur</t>
  </si>
  <si>
    <t>CBIRaisen</t>
  </si>
  <si>
    <t>CBIRatlam</t>
  </si>
  <si>
    <t>CBISagar</t>
  </si>
  <si>
    <t>CBISeoni</t>
  </si>
  <si>
    <t>CBIShahdol</t>
  </si>
  <si>
    <t>PNBDatia</t>
  </si>
  <si>
    <t>RUDSETIBhopal</t>
  </si>
  <si>
    <t>SBIAshokNagar</t>
  </si>
  <si>
    <t>SBIChhatarpur</t>
  </si>
  <si>
    <t>SBIDamoh</t>
  </si>
  <si>
    <t>SBIGuna</t>
  </si>
  <si>
    <t>SBIHarda</t>
  </si>
  <si>
    <t>SBIKatni</t>
  </si>
  <si>
    <t>SBINeemuch</t>
  </si>
  <si>
    <t>SBIPanna</t>
  </si>
  <si>
    <t>SBISheopur</t>
  </si>
  <si>
    <t>SBIShivpuri</t>
  </si>
  <si>
    <t>SBITikamgarh</t>
  </si>
  <si>
    <t>SBIUmaria</t>
  </si>
  <si>
    <t>SBIVidisha</t>
  </si>
  <si>
    <t>UBIRewa</t>
  </si>
  <si>
    <t>UBISidhi</t>
  </si>
  <si>
    <t>UBIsingarauli</t>
  </si>
  <si>
    <t>BOBIndore</t>
  </si>
  <si>
    <t>No.of Candidates settled</t>
  </si>
  <si>
    <t>0</t>
  </si>
  <si>
    <t>No.of pro.</t>
  </si>
  <si>
    <t>No of Candidates</t>
  </si>
  <si>
    <t>No. of Candidates</t>
  </si>
  <si>
    <t>  2</t>
  </si>
  <si>
    <t>401  </t>
  </si>
  <si>
    <t>422  </t>
  </si>
  <si>
    <t>376  </t>
  </si>
  <si>
    <t>392  </t>
  </si>
  <si>
    <t>426  </t>
  </si>
  <si>
    <t>497  </t>
  </si>
  <si>
    <t>400  </t>
  </si>
  <si>
    <t>213  </t>
  </si>
  <si>
    <t>167  </t>
  </si>
  <si>
    <t>461  </t>
  </si>
  <si>
    <t>242  </t>
  </si>
  <si>
    <t>332  </t>
  </si>
  <si>
    <t>306  </t>
  </si>
  <si>
    <t>370  </t>
  </si>
  <si>
    <t>349  </t>
  </si>
  <si>
    <t>236  </t>
  </si>
  <si>
    <t>121  </t>
  </si>
  <si>
    <t>274  </t>
  </si>
  <si>
    <t>412  </t>
  </si>
  <si>
    <t>266  </t>
  </si>
  <si>
    <t>181  </t>
  </si>
  <si>
    <t>241  </t>
  </si>
  <si>
    <t>205  </t>
  </si>
  <si>
    <t>228  </t>
  </si>
  <si>
    <t>232  </t>
  </si>
  <si>
    <t>281  </t>
  </si>
  <si>
    <t>230  </t>
  </si>
  <si>
    <t>173  </t>
  </si>
  <si>
    <t>139  </t>
  </si>
  <si>
    <t>358  </t>
  </si>
  <si>
    <t>581  </t>
  </si>
  <si>
    <t>150  </t>
  </si>
  <si>
    <t>305  </t>
  </si>
  <si>
    <t>193  </t>
  </si>
  <si>
    <t>149  </t>
  </si>
  <si>
    <t>425  </t>
  </si>
  <si>
    <t>191  </t>
  </si>
  <si>
    <t>210  </t>
  </si>
  <si>
    <t>327  </t>
  </si>
  <si>
    <t>143  </t>
  </si>
  <si>
    <t>189  </t>
  </si>
  <si>
    <t>280  </t>
  </si>
  <si>
    <t>373  </t>
  </si>
  <si>
    <t>311  </t>
  </si>
  <si>
    <t>524  </t>
  </si>
  <si>
    <t>294  </t>
  </si>
  <si>
    <t>145  </t>
  </si>
  <si>
    <t>761  </t>
  </si>
  <si>
    <t>PSBs Sub Total</t>
  </si>
  <si>
    <t>Total no. of A/cs</t>
  </si>
  <si>
    <t>Out of total Female A/cs</t>
  </si>
  <si>
    <t>No. of RuPay card issued</t>
  </si>
  <si>
    <t>Aadhaar Seeded</t>
  </si>
  <si>
    <t>Zero Balance A/cs</t>
  </si>
  <si>
    <t>PVTs Sub Total</t>
  </si>
  <si>
    <t>RRBs Sub Total</t>
  </si>
  <si>
    <t>MP Gramin Bank</t>
  </si>
  <si>
    <t xml:space="preserve">No. in Actual </t>
  </si>
  <si>
    <t>Total Deposit in Rs crore</t>
  </si>
  <si>
    <t>Pradhan Mantri Jan Dhan Yojana (PMJDY) Cumulative status                          as on 31.03.2021</t>
  </si>
  <si>
    <t>Dhanlaxmi Bank</t>
  </si>
  <si>
    <t>Jana Small Finance Bank Limited</t>
  </si>
  <si>
    <t>AU Small Finance Bank Limited</t>
  </si>
  <si>
    <t>ESAF Small Finance Bank</t>
  </si>
  <si>
    <t>SFBs Sub Total</t>
  </si>
  <si>
    <t>Pradhan Mantri MUDRA Yojana Progress FY 2020-21</t>
  </si>
  <si>
    <t>ANCILLARY ACTIVITIES</t>
  </si>
  <si>
    <t>ANNUAL CREDIT PLAN ACHIEVEMENT UNDER PRIORITY SECTOR AS ON 30.06.2021</t>
  </si>
  <si>
    <t>ANNUAL CREDIT PLAN ACHIEVEMENT UNDER NON-PRIORITY SECTOR AS ON 30.06.2021</t>
  </si>
  <si>
    <t>POSITION OF NPA AS ON 30.06.2021</t>
  </si>
  <si>
    <t>POSITION OF SECTOR WISE NPA (PRIORITY SECTOR) As on 30.06.2021</t>
  </si>
  <si>
    <t>POSITION OF SECTOR WISE NPA (NON PRIORITY SECTOR) As on 30.06.2021</t>
  </si>
  <si>
    <t>POSITION OF NPA UNDER GOVT. SPONSORED SCHEME As on 30.06.2021</t>
  </si>
  <si>
    <t>No. of KCC issued from 01.04.21 to 30.06.21 (Including renewal)</t>
  </si>
  <si>
    <t>Total no. of KCC as on 30.06.2021</t>
  </si>
  <si>
    <t>PROGRESS UNDER KISAN CREDIT CARD (as on 30.06.2021)</t>
  </si>
  <si>
    <t>POSITION SHG BANK LINKAGE PROGRAMME AS ON 30.06.2021</t>
  </si>
  <si>
    <t>LOANS OUTSTANDING TO MINORITY COMMUNITIES AS ON 30.06.2021</t>
  </si>
  <si>
    <t>LOANS OUTSTANDING TO SC/ST AS ON 30.06.2021</t>
  </si>
  <si>
    <t>ADVANCES TO WOMEN AS ON 30.06.2021</t>
  </si>
  <si>
    <t>Loans disbursed to women 01.04.2021 to 30.06.21</t>
  </si>
  <si>
    <t>AGRICULTURE OUTSTANDING AS ON 30.06.2021</t>
  </si>
  <si>
    <t>MSME  (PRIORITY SECTOR) OUTSTANDING AS ON 30.06.2021</t>
  </si>
  <si>
    <t>Outstanding upto the end of current quarter 30.06.2021</t>
  </si>
  <si>
    <t>PRIORITY SECTOR  OUTSTANDING AS ON 30.06.2021</t>
  </si>
  <si>
    <t>ADVANCES TO WEAKER SECTION OUTSTANDING AS ON 30.06.2021</t>
  </si>
  <si>
    <t>Outstanding upto the end of the quarter 30.06.2021</t>
  </si>
  <si>
    <t>ANNUAL CREDIT PLAN ACHIEVEMENT UNDER AGRICULTURE AS ON 30.06.2021</t>
  </si>
  <si>
    <t>ANNUAL CREDIT PLAN ACHIEVEMENT UNDER MSME (PRI SEC) AS ON 30.06.2021</t>
  </si>
  <si>
    <t>Disbursement upto the end of current quarter 30.06.2021</t>
  </si>
  <si>
    <t>Bank wise Position of Branches/ATM as on 30.06.2021</t>
  </si>
  <si>
    <t>PREVIOUS QUARTER 31.03.2021</t>
  </si>
  <si>
    <t>CURRENT QUARTER 30.06.2021</t>
  </si>
  <si>
    <t>BANKWISE TOTAL DEPOSITS, ADVANCES AND C.D.RATIO  As on 30.06.2021</t>
  </si>
  <si>
    <t>CENTRE WISE INFORMATION OF DEPOSITS, ADVANCES AND C.D.RATIO  30.06.2021</t>
  </si>
  <si>
    <t>CREDIT DEPOSIT RATIO (DISTRICT WISE) AS ON JUNE 30, 2021</t>
  </si>
  <si>
    <t>NON-PRIORITY SECTOR  OUTSTANDING AS ON 30.06.2021  Table: 8</t>
  </si>
  <si>
    <t>PROGRESS UNDER HIGHER EDUCATION LOANS AS ON 30.06.2021</t>
  </si>
  <si>
    <t xml:space="preserve">TARGET for FY   2021-22 </t>
  </si>
  <si>
    <t>LOANS DISBURSED TO MINORITY COMMUNITIES 01.04.2021 TO 30.06.2021</t>
  </si>
  <si>
    <t>LOANS DISBURSED TO SC/ST 01.04.2021 TO 30.06.2021</t>
  </si>
  <si>
    <r>
      <t>of Which Girl Student</t>
    </r>
    <r>
      <rPr>
        <sz val="10.5"/>
        <rFont val="Times New Roman"/>
        <family val="1"/>
      </rPr>
      <t> </t>
    </r>
  </si>
  <si>
    <t xml:space="preserve">      </t>
  </si>
  <si>
    <r>
      <t>of which girl student</t>
    </r>
    <r>
      <rPr>
        <sz val="10.5"/>
        <rFont val="Times New Roman"/>
        <family val="1"/>
      </rPr>
      <t xml:space="preserve">          </t>
    </r>
    <r>
      <rPr>
        <b/>
        <sz val="10.5"/>
        <rFont val="Times New Roman"/>
        <family val="1"/>
      </rPr>
      <t>(Out of column 3)</t>
    </r>
  </si>
  <si>
    <t>SHG LOANS</t>
  </si>
  <si>
    <t>`</t>
  </si>
  <si>
    <t>Page-58</t>
  </si>
  <si>
    <t>Page-59</t>
  </si>
  <si>
    <t>Page-60</t>
  </si>
  <si>
    <t>Page-61</t>
  </si>
  <si>
    <t>Page-62</t>
  </si>
  <si>
    <t>Page-63</t>
  </si>
  <si>
    <t>Page-64</t>
  </si>
  <si>
    <t>Page-65</t>
  </si>
  <si>
    <t>Page-66</t>
  </si>
  <si>
    <t>Page-67</t>
  </si>
  <si>
    <t>Page-68</t>
  </si>
  <si>
    <t>Page-69</t>
  </si>
  <si>
    <t>Page-70</t>
  </si>
  <si>
    <t>Page-71</t>
  </si>
  <si>
    <t>Page-72</t>
  </si>
  <si>
    <t>Page-73</t>
  </si>
  <si>
    <t>Page-74</t>
  </si>
  <si>
    <t>Page-75</t>
  </si>
  <si>
    <t>Page-76</t>
  </si>
  <si>
    <t>Page-77</t>
  </si>
  <si>
    <t>Page-78</t>
  </si>
  <si>
    <t>Page-79</t>
  </si>
  <si>
    <t>Page-80</t>
  </si>
  <si>
    <t>Page-81</t>
  </si>
  <si>
    <t>Page-82</t>
  </si>
  <si>
    <t>Page-83</t>
  </si>
  <si>
    <t>Page-84</t>
  </si>
  <si>
    <t>Including Cr. as per place of utilization 30.06.21</t>
  </si>
  <si>
    <t xml:space="preserve">    </t>
  </si>
  <si>
    <t>Credit as per place of Utilization June-21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</si>
</sst>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 * #,##0.00_ ;_ * \-#,##0.00_ ;_ * &quot;-&quot;??_ ;_ @_ "/>
    <numFmt numFmtId="165" formatCode="0.0"/>
  </numFmts>
  <fonts count="42" x14ac:knownFonts="1"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49"/>
      <name val="Calibri"/>
      <family val="2"/>
    </font>
    <font>
      <sz val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4" tint="-0.2499465926084170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0"/>
      <color theme="4" tint="-0.24994659260841701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.5"/>
      <color rgb="FFFF0000"/>
      <name val="Times New Roman"/>
      <family val="1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61">
    <xf numFmtId="0" fontId="0" fillId="0" borderId="0">
      <alignment vertical="top" wrapText="1"/>
    </xf>
    <xf numFmtId="164" fontId="19" fillId="0" borderId="0" applyFont="0" applyFill="0" applyBorder="0" applyAlignment="0" applyProtection="0"/>
    <xf numFmtId="43" fontId="14" fillId="0" borderId="0" applyFill="0" applyBorder="0" applyAlignment="0" applyProtection="0"/>
    <xf numFmtId="0" fontId="6" fillId="0" borderId="0"/>
    <xf numFmtId="0" fontId="2" fillId="0" borderId="0"/>
    <xf numFmtId="0" fontId="18" fillId="0" borderId="0" applyNumberFormat="0" applyFill="0" applyBorder="0" applyAlignment="0" applyProtection="0">
      <alignment vertical="top" wrapText="1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 wrapText="1"/>
    </xf>
    <xf numFmtId="0" fontId="14" fillId="0" borderId="0"/>
    <xf numFmtId="0" fontId="23" fillId="0" borderId="0"/>
    <xf numFmtId="0" fontId="18" fillId="0" borderId="0">
      <alignment vertical="top" wrapText="1"/>
    </xf>
    <xf numFmtId="0" fontId="23" fillId="0" borderId="0"/>
    <xf numFmtId="0" fontId="18" fillId="0" borderId="0">
      <alignment vertical="top" wrapText="1"/>
    </xf>
    <xf numFmtId="0" fontId="23" fillId="0" borderId="0"/>
    <xf numFmtId="0" fontId="23" fillId="0" borderId="0"/>
    <xf numFmtId="0" fontId="9" fillId="0" borderId="0">
      <alignment vertical="top" wrapText="1"/>
    </xf>
    <xf numFmtId="0" fontId="18" fillId="0" borderId="0">
      <alignment vertical="top" wrapText="1"/>
    </xf>
    <xf numFmtId="0" fontId="23" fillId="0" borderId="0"/>
    <xf numFmtId="0" fontId="23" fillId="0" borderId="0"/>
    <xf numFmtId="0" fontId="23" fillId="0" borderId="0"/>
    <xf numFmtId="0" fontId="15" fillId="0" borderId="0"/>
    <xf numFmtId="0" fontId="18" fillId="0" borderId="0">
      <alignment vertical="top" wrapText="1"/>
    </xf>
    <xf numFmtId="0" fontId="23" fillId="0" borderId="0"/>
    <xf numFmtId="0" fontId="18" fillId="0" borderId="0">
      <alignment vertical="top" wrapText="1"/>
    </xf>
    <xf numFmtId="0" fontId="18" fillId="0" borderId="0">
      <alignment vertical="top" wrapText="1"/>
    </xf>
    <xf numFmtId="0" fontId="23" fillId="0" borderId="0"/>
    <xf numFmtId="0" fontId="13" fillId="0" borderId="0"/>
    <xf numFmtId="0" fontId="18" fillId="0" borderId="0">
      <alignment vertical="top" wrapText="1"/>
    </xf>
    <xf numFmtId="0" fontId="18" fillId="0" borderId="0">
      <alignment vertical="top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>
      <alignment vertical="top" wrapText="1"/>
    </xf>
    <xf numFmtId="0" fontId="9" fillId="0" borderId="0">
      <alignment vertical="top" wrapText="1"/>
    </xf>
    <xf numFmtId="0" fontId="18" fillId="0" borderId="0">
      <alignment vertical="top" wrapText="1"/>
    </xf>
    <xf numFmtId="0" fontId="19" fillId="0" borderId="0"/>
    <xf numFmtId="0" fontId="18" fillId="0" borderId="0">
      <alignment vertical="top" wrapText="1"/>
    </xf>
    <xf numFmtId="0" fontId="9" fillId="0" borderId="0">
      <alignment vertical="top" wrapText="1"/>
    </xf>
    <xf numFmtId="0" fontId="18" fillId="0" borderId="0">
      <alignment vertical="top" wrapText="1"/>
    </xf>
    <xf numFmtId="0" fontId="19" fillId="0" borderId="0"/>
    <xf numFmtId="9" fontId="9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</cellStyleXfs>
  <cellXfs count="512">
    <xf numFmtId="0" fontId="0" fillId="0" borderId="0" xfId="0">
      <alignment vertical="top" wrapText="1"/>
    </xf>
    <xf numFmtId="0" fontId="8" fillId="2" borderId="1" xfId="0" applyFont="1" applyFill="1" applyBorder="1" applyAlignment="1">
      <alignment vertical="center"/>
    </xf>
    <xf numFmtId="0" fontId="3" fillId="2" borderId="0" xfId="0" applyFont="1" applyFill="1">
      <alignment vertical="top" wrapText="1"/>
    </xf>
    <xf numFmtId="1" fontId="3" fillId="2" borderId="0" xfId="0" applyNumberFormat="1" applyFont="1" applyFill="1">
      <alignment vertical="top" wrapText="1"/>
    </xf>
    <xf numFmtId="2" fontId="24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2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2" fontId="25" fillId="2" borderId="1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2" fontId="25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1" fontId="3" fillId="2" borderId="0" xfId="0" applyNumberFormat="1" applyFont="1" applyFill="1" applyProtection="1">
      <alignment vertical="top" wrapText="1"/>
      <protection locked="0"/>
    </xf>
    <xf numFmtId="1" fontId="4" fillId="2" borderId="0" xfId="0" applyNumberFormat="1" applyFont="1" applyFill="1" applyProtection="1">
      <alignment vertical="top" wrapText="1"/>
      <protection locked="0"/>
    </xf>
    <xf numFmtId="2" fontId="3" fillId="2" borderId="0" xfId="0" applyNumberFormat="1" applyFont="1" applyFill="1">
      <alignment vertical="top" wrapText="1"/>
    </xf>
    <xf numFmtId="0" fontId="8" fillId="2" borderId="0" xfId="0" applyFont="1" applyFill="1" applyProtection="1">
      <alignment vertical="top" wrapText="1"/>
      <protection locked="0"/>
    </xf>
    <xf numFmtId="2" fontId="8" fillId="2" borderId="0" xfId="0" applyNumberFormat="1" applyFont="1" applyFill="1" applyAlignment="1" applyProtection="1">
      <alignment horizontal="center" vertical="top" wrapText="1"/>
      <protection locked="0"/>
    </xf>
    <xf numFmtId="2" fontId="7" fillId="2" borderId="0" xfId="0" applyNumberFormat="1" applyFont="1" applyFill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" fontId="8" fillId="2" borderId="0" xfId="0" applyNumberFormat="1" applyFont="1" applyFill="1" applyProtection="1">
      <alignment vertical="top" wrapText="1"/>
      <protection locked="0"/>
    </xf>
    <xf numFmtId="2" fontId="8" fillId="2" borderId="0" xfId="0" applyNumberFormat="1" applyFont="1" applyFill="1" applyProtection="1">
      <alignment vertical="top" wrapText="1"/>
      <protection locked="0"/>
    </xf>
    <xf numFmtId="1" fontId="7" fillId="2" borderId="0" xfId="0" applyNumberFormat="1" applyFont="1" applyFill="1" applyProtection="1">
      <alignment vertical="top" wrapText="1"/>
      <protection locked="0"/>
    </xf>
    <xf numFmtId="2" fontId="7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Protection="1">
      <alignment vertical="top" wrapText="1"/>
      <protection locked="0"/>
    </xf>
    <xf numFmtId="0" fontId="17" fillId="2" borderId="5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7" fillId="2" borderId="0" xfId="0" applyFont="1" applyFill="1" applyProtection="1">
      <alignment vertical="top" wrapText="1"/>
      <protection locked="0"/>
    </xf>
    <xf numFmtId="1" fontId="7" fillId="2" borderId="8" xfId="0" applyNumberFormat="1" applyFont="1" applyFill="1" applyBorder="1" applyAlignment="1" applyProtection="1">
      <alignment vertical="top" wrapText="1"/>
      <protection locked="0"/>
    </xf>
    <xf numFmtId="2" fontId="17" fillId="2" borderId="1" xfId="0" applyNumberFormat="1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2" fontId="16" fillId="2" borderId="0" xfId="0" applyNumberFormat="1" applyFont="1" applyFill="1" applyAlignment="1">
      <alignment vertical="center"/>
    </xf>
    <xf numFmtId="1" fontId="16" fillId="2" borderId="0" xfId="0" applyNumberFormat="1" applyFont="1" applyFill="1" applyAlignment="1">
      <alignment vertical="center"/>
    </xf>
    <xf numFmtId="1" fontId="17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1" fontId="27" fillId="2" borderId="0" xfId="0" applyNumberFormat="1" applyFont="1" applyFill="1" applyAlignment="1">
      <alignment vertical="center"/>
    </xf>
    <xf numFmtId="1" fontId="26" fillId="2" borderId="0" xfId="0" applyNumberFormat="1" applyFont="1" applyFill="1" applyAlignment="1">
      <alignment vertical="center"/>
    </xf>
    <xf numFmtId="2" fontId="26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 applyProtection="1">
      <alignment horizontal="center" vertical="top" wrapText="1"/>
      <protection locked="0"/>
    </xf>
    <xf numFmtId="1" fontId="3" fillId="2" borderId="0" xfId="0" applyNumberFormat="1" applyFont="1" applyFill="1" applyAlignment="1">
      <alignment vertical="center" wrapText="1"/>
    </xf>
    <xf numFmtId="1" fontId="4" fillId="2" borderId="0" xfId="0" applyNumberFormat="1" applyFont="1" applyFill="1" applyAlignment="1" applyProtection="1">
      <alignment vertical="center" wrapText="1"/>
      <protection locked="0"/>
    </xf>
    <xf numFmtId="1" fontId="3" fillId="2" borderId="0" xfId="0" applyNumberFormat="1" applyFont="1" applyFill="1" applyAlignment="1" applyProtection="1">
      <alignment vertical="center" wrapText="1"/>
      <protection locked="0"/>
    </xf>
    <xf numFmtId="1" fontId="16" fillId="2" borderId="1" xfId="0" applyNumberFormat="1" applyFont="1" applyFill="1" applyBorder="1">
      <alignment vertical="top" wrapText="1"/>
    </xf>
    <xf numFmtId="1" fontId="7" fillId="2" borderId="0" xfId="0" applyNumberFormat="1" applyFont="1" applyFill="1" applyAlignment="1" applyProtection="1">
      <alignment vertical="center"/>
      <protection locked="0"/>
    </xf>
    <xf numFmtId="0" fontId="11" fillId="2" borderId="0" xfId="0" applyFont="1" applyFill="1">
      <alignment vertical="top" wrapText="1"/>
    </xf>
    <xf numFmtId="1" fontId="11" fillId="2" borderId="0" xfId="0" applyNumberFormat="1" applyFont="1" applyFill="1">
      <alignment vertical="top" wrapText="1"/>
    </xf>
    <xf numFmtId="0" fontId="16" fillId="2" borderId="0" xfId="0" applyFont="1" applyFill="1" applyAlignment="1">
      <alignment vertical="center" wrapText="1"/>
    </xf>
    <xf numFmtId="0" fontId="12" fillId="2" borderId="0" xfId="0" applyFont="1" applyFill="1">
      <alignment vertical="top" wrapText="1"/>
    </xf>
    <xf numFmtId="0" fontId="8" fillId="2" borderId="0" xfId="0" applyFont="1" applyFill="1" applyAlignment="1" applyProtection="1">
      <alignment vertical="center" wrapText="1"/>
      <protection locked="0"/>
    </xf>
    <xf numFmtId="0" fontId="17" fillId="2" borderId="0" xfId="0" applyFont="1" applyFill="1" applyProtection="1">
      <alignment vertical="top" wrapText="1"/>
      <protection locked="0"/>
    </xf>
    <xf numFmtId="0" fontId="17" fillId="2" borderId="1" xfId="0" applyFont="1" applyFill="1" applyBorder="1" applyAlignment="1">
      <alignment vertical="center"/>
    </xf>
    <xf numFmtId="0" fontId="17" fillId="2" borderId="0" xfId="0" applyFont="1" applyFill="1" applyAlignment="1" applyProtection="1">
      <alignment horizontal="center" vertical="top" wrapText="1"/>
      <protection locked="0"/>
    </xf>
    <xf numFmtId="0" fontId="16" fillId="2" borderId="0" xfId="0" applyFont="1" applyFill="1" applyAlignment="1">
      <alignment horizontal="center" vertical="center"/>
    </xf>
    <xf numFmtId="1" fontId="17" fillId="2" borderId="1" xfId="0" applyNumberFormat="1" applyFont="1" applyFill="1" applyBorder="1">
      <alignment vertical="top" wrapText="1"/>
    </xf>
    <xf numFmtId="0" fontId="4" fillId="2" borderId="0" xfId="0" applyFont="1" applyFill="1">
      <alignment vertical="top" wrapText="1"/>
    </xf>
    <xf numFmtId="0" fontId="8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" fontId="4" fillId="2" borderId="0" xfId="0" applyNumberFormat="1" applyFont="1" applyFill="1">
      <alignment vertical="top" wrapText="1"/>
    </xf>
    <xf numFmtId="1" fontId="5" fillId="2" borderId="1" xfId="0" applyNumberFormat="1" applyFont="1" applyFill="1" applyBorder="1">
      <alignment vertical="top" wrapText="1"/>
    </xf>
    <xf numFmtId="0" fontId="5" fillId="2" borderId="0" xfId="0" applyFont="1" applyFill="1">
      <alignment vertical="top" wrapText="1"/>
    </xf>
    <xf numFmtId="0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right" vertical="center" wrapText="1"/>
    </xf>
    <xf numFmtId="0" fontId="4" fillId="2" borderId="35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vertical="center" wrapText="1"/>
    </xf>
    <xf numFmtId="2" fontId="30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3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top" wrapText="1"/>
    </xf>
    <xf numFmtId="1" fontId="17" fillId="2" borderId="1" xfId="0" applyNumberFormat="1" applyFont="1" applyFill="1" applyBorder="1" applyProtection="1">
      <alignment vertical="top" wrapText="1"/>
      <protection locked="0"/>
    </xf>
    <xf numFmtId="1" fontId="7" fillId="2" borderId="0" xfId="0" applyNumberFormat="1" applyFont="1" applyFill="1">
      <alignment vertical="top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3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2" fontId="17" fillId="2" borderId="1" xfId="0" applyNumberFormat="1" applyFont="1" applyFill="1" applyBorder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vertical="center"/>
    </xf>
    <xf numFmtId="1" fontId="16" fillId="2" borderId="0" xfId="0" applyNumberFormat="1" applyFont="1" applyFill="1" applyAlignment="1" applyProtection="1">
      <alignment horizontal="right" vertical="top" wrapText="1"/>
      <protection locked="0"/>
    </xf>
    <xf numFmtId="1" fontId="3" fillId="2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3" fillId="2" borderId="1" xfId="60" applyNumberFormat="1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top" wrapText="1"/>
    </xf>
    <xf numFmtId="2" fontId="7" fillId="2" borderId="0" xfId="0" applyNumberFormat="1" applyFont="1" applyFill="1" applyBorder="1" applyAlignment="1">
      <alignment vertical="center"/>
    </xf>
    <xf numFmtId="2" fontId="17" fillId="2" borderId="0" xfId="0" applyNumberFormat="1" applyFont="1" applyFill="1" applyAlignment="1">
      <alignment vertical="center" wrapText="1"/>
    </xf>
    <xf numFmtId="1" fontId="17" fillId="2" borderId="0" xfId="0" applyNumberFormat="1" applyFont="1" applyFill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>
      <alignment vertical="top" wrapText="1"/>
    </xf>
    <xf numFmtId="2" fontId="16" fillId="2" borderId="0" xfId="0" applyNumberFormat="1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34" fillId="2" borderId="0" xfId="0" applyFont="1" applyFill="1" applyAlignment="1" applyProtection="1">
      <alignment horizontal="center" vertical="top" wrapText="1"/>
      <protection locked="0"/>
    </xf>
    <xf numFmtId="0" fontId="24" fillId="2" borderId="0" xfId="0" applyFont="1" applyFill="1" applyProtection="1">
      <alignment vertical="top" wrapText="1"/>
      <protection locked="0"/>
    </xf>
    <xf numFmtId="1" fontId="34" fillId="2" borderId="0" xfId="0" applyNumberFormat="1" applyFont="1" applyFill="1" applyAlignment="1" applyProtection="1">
      <alignment horizontal="right" vertical="top" wrapText="1"/>
      <protection locked="0"/>
    </xf>
    <xf numFmtId="1" fontId="34" fillId="2" borderId="0" xfId="0" applyNumberFormat="1" applyFont="1" applyFill="1" applyAlignment="1" applyProtection="1">
      <alignment horizontal="right" vertical="center"/>
      <protection locked="0"/>
    </xf>
    <xf numFmtId="1" fontId="34" fillId="2" borderId="0" xfId="0" applyNumberFormat="1" applyFont="1" applyFill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29" fillId="2" borderId="0" xfId="0" applyFont="1" applyFill="1" applyAlignment="1" applyProtection="1">
      <alignment vertical="center"/>
      <protection locked="0"/>
    </xf>
    <xf numFmtId="0" fontId="34" fillId="2" borderId="0" xfId="0" applyFont="1" applyFill="1" applyAlignment="1" applyProtection="1">
      <alignment horizontal="center" vertical="center"/>
      <protection locked="0"/>
    </xf>
    <xf numFmtId="1" fontId="24" fillId="2" borderId="0" xfId="0" applyNumberFormat="1" applyFont="1" applyFill="1" applyAlignment="1" applyProtection="1">
      <alignment horizontal="right" vertical="center"/>
      <protection locked="0"/>
    </xf>
    <xf numFmtId="2" fontId="24" fillId="2" borderId="0" xfId="0" applyNumberFormat="1" applyFont="1" applyFill="1" applyAlignment="1" applyProtection="1">
      <alignment horizontal="right" vertical="center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3" fillId="2" borderId="0" xfId="0" applyNumberFormat="1" applyFont="1" applyFill="1" applyBorder="1">
      <alignment vertical="top" wrapText="1"/>
    </xf>
    <xf numFmtId="1" fontId="16" fillId="2" borderId="0" xfId="0" applyNumberFormat="1" applyFont="1" applyFill="1" applyBorder="1">
      <alignment vertical="top" wrapText="1"/>
    </xf>
    <xf numFmtId="1" fontId="8" fillId="2" borderId="0" xfId="0" applyNumberFormat="1" applyFont="1" applyFill="1" applyAlignment="1" applyProtection="1">
      <alignment horizontal="right" vertical="top" wrapText="1"/>
      <protection locked="0"/>
    </xf>
    <xf numFmtId="0" fontId="36" fillId="2" borderId="0" xfId="0" applyFont="1" applyFill="1" applyAlignment="1">
      <alignment vertical="center"/>
    </xf>
    <xf numFmtId="1" fontId="26" fillId="2" borderId="0" xfId="0" applyNumberFormat="1" applyFont="1" applyFill="1" applyAlignment="1" applyProtection="1">
      <alignment vertical="center"/>
      <protection locked="0"/>
    </xf>
    <xf numFmtId="0" fontId="16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1" fontId="16" fillId="0" borderId="0" xfId="0" applyNumberFormat="1" applyFont="1" applyFill="1" applyAlignment="1">
      <alignment vertical="center"/>
    </xf>
    <xf numFmtId="1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56" applyFont="1" applyFill="1" applyBorder="1" applyAlignment="1" applyProtection="1">
      <alignment horizontal="center" vertical="top" wrapText="1"/>
      <protection locked="0"/>
    </xf>
    <xf numFmtId="0" fontId="8" fillId="2" borderId="1" xfId="56" applyFont="1" applyFill="1" applyBorder="1" applyAlignment="1"/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Protection="1">
      <alignment vertical="top" wrapText="1"/>
      <protection locked="0"/>
    </xf>
    <xf numFmtId="0" fontId="7" fillId="2" borderId="1" xfId="56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Protection="1">
      <alignment vertical="top" wrapText="1"/>
      <protection locked="0"/>
    </xf>
    <xf numFmtId="0" fontId="7" fillId="2" borderId="1" xfId="0" applyFont="1" applyFill="1" applyBorder="1">
      <alignment vertical="top" wrapText="1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25" fillId="2" borderId="1" xfId="56" applyFont="1" applyFill="1" applyBorder="1" applyAlignment="1" applyProtection="1">
      <alignment horizontal="center" vertical="top" wrapText="1"/>
      <protection locked="0"/>
    </xf>
    <xf numFmtId="0" fontId="25" fillId="2" borderId="1" xfId="56" applyFont="1" applyFill="1" applyBorder="1" applyAlignment="1"/>
    <xf numFmtId="1" fontId="25" fillId="2" borderId="1" xfId="0" applyNumberFormat="1" applyFont="1" applyFill="1" applyBorder="1" applyAlignment="1">
      <alignment vertical="center"/>
    </xf>
    <xf numFmtId="1" fontId="25" fillId="2" borderId="1" xfId="0" applyNumberFormat="1" applyFont="1" applyFill="1" applyBorder="1" applyAlignment="1" applyProtection="1">
      <alignment vertical="center"/>
      <protection locked="0"/>
    </xf>
    <xf numFmtId="2" fontId="25" fillId="2" borderId="1" xfId="56" applyNumberFormat="1" applyFont="1" applyFill="1" applyBorder="1" applyAlignment="1" applyProtection="1">
      <alignment horizontal="right" vertical="center" wrapText="1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1" fontId="25" fillId="2" borderId="1" xfId="0" applyNumberFormat="1" applyFont="1" applyFill="1" applyBorder="1" applyAlignment="1" applyProtection="1">
      <alignment horizontal="right" vertical="center"/>
      <protection locked="0"/>
    </xf>
    <xf numFmtId="0" fontId="24" fillId="2" borderId="1" xfId="56" applyFont="1" applyFill="1" applyBorder="1" applyAlignment="1" applyProtection="1">
      <alignment horizontal="center" vertical="top" wrapText="1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1" fontId="24" fillId="2" borderId="1" xfId="0" applyNumberFormat="1" applyFont="1" applyFill="1" applyBorder="1" applyAlignment="1" applyProtection="1">
      <alignment horizontal="right" vertical="center"/>
      <protection locked="0"/>
    </xf>
    <xf numFmtId="2" fontId="24" fillId="2" borderId="1" xfId="56" applyNumberFormat="1" applyFont="1" applyFill="1" applyBorder="1" applyAlignment="1" applyProtection="1">
      <alignment horizontal="right" vertical="center" wrapText="1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1" fontId="25" fillId="2" borderId="0" xfId="0" applyNumberFormat="1" applyFont="1" applyFill="1" applyAlignment="1" applyProtection="1">
      <alignment vertical="center"/>
      <protection locked="0"/>
    </xf>
    <xf numFmtId="1" fontId="8" fillId="0" borderId="1" xfId="0" applyNumberFormat="1" applyFont="1" applyFill="1" applyBorder="1" applyAlignment="1">
      <alignment vertical="center"/>
    </xf>
    <xf numFmtId="1" fontId="36" fillId="2" borderId="0" xfId="0" applyNumberFormat="1" applyFont="1" applyFill="1" applyAlignment="1">
      <alignment vertical="center"/>
    </xf>
    <xf numFmtId="1" fontId="37" fillId="0" borderId="37" xfId="0" applyNumberFormat="1" applyFont="1" applyFill="1" applyBorder="1" applyAlignment="1">
      <alignment vertical="top" wrapText="1" readingOrder="1"/>
    </xf>
    <xf numFmtId="1" fontId="37" fillId="2" borderId="37" xfId="0" applyNumberFormat="1" applyFont="1" applyFill="1" applyBorder="1" applyAlignment="1">
      <alignment vertical="top" wrapText="1" readingOrder="1"/>
    </xf>
    <xf numFmtId="1" fontId="38" fillId="0" borderId="37" xfId="0" applyNumberFormat="1" applyFont="1" applyFill="1" applyBorder="1" applyAlignment="1">
      <alignment vertical="top" wrapText="1" readingOrder="1"/>
    </xf>
    <xf numFmtId="1" fontId="40" fillId="2" borderId="1" xfId="0" applyNumberFormat="1" applyFont="1" applyFill="1" applyBorder="1" applyAlignment="1">
      <alignment vertical="top" wrapText="1" readingOrder="1"/>
    </xf>
    <xf numFmtId="1" fontId="8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1" fontId="26" fillId="0" borderId="37" xfId="0" applyNumberFormat="1" applyFont="1" applyFill="1" applyBorder="1" applyAlignment="1">
      <alignment vertical="top" wrapText="1" readingOrder="1"/>
    </xf>
    <xf numFmtId="1" fontId="8" fillId="2" borderId="1" xfId="0" applyNumberFormat="1" applyFont="1" applyFill="1" applyBorder="1" applyAlignment="1" applyProtection="1">
      <alignment vertical="center" wrapText="1"/>
    </xf>
    <xf numFmtId="1" fontId="7" fillId="2" borderId="1" xfId="0" applyNumberFormat="1" applyFont="1" applyFill="1" applyBorder="1" applyAlignment="1" applyProtection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1" fontId="16" fillId="2" borderId="13" xfId="0" applyNumberFormat="1" applyFont="1" applyFill="1" applyBorder="1">
      <alignment vertical="top" wrapText="1"/>
    </xf>
    <xf numFmtId="1" fontId="31" fillId="2" borderId="1" xfId="0" applyNumberFormat="1" applyFont="1" applyFill="1" applyBorder="1" applyAlignment="1">
      <alignment horizontal="center" vertical="center"/>
    </xf>
    <xf numFmtId="1" fontId="31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top" wrapText="1"/>
    </xf>
    <xf numFmtId="1" fontId="4" fillId="2" borderId="0" xfId="0" applyNumberFormat="1" applyFont="1" applyFill="1" applyBorder="1" applyAlignment="1">
      <alignment vertical="center" wrapText="1"/>
    </xf>
    <xf numFmtId="1" fontId="8" fillId="2" borderId="1" xfId="0" applyNumberFormat="1" applyFont="1" applyFill="1" applyBorder="1" applyAlignment="1"/>
    <xf numFmtId="1" fontId="2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8" fillId="2" borderId="0" xfId="0" applyNumberFormat="1" applyFont="1" applyFill="1" applyAlignment="1">
      <alignment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1" fontId="31" fillId="2" borderId="27" xfId="0" applyNumberFormat="1" applyFont="1" applyFill="1" applyBorder="1" applyAlignment="1">
      <alignment horizontal="center" vertical="center" wrapText="1"/>
    </xf>
    <xf numFmtId="1" fontId="31" fillId="2" borderId="26" xfId="0" applyNumberFormat="1" applyFont="1" applyFill="1" applyBorder="1" applyAlignment="1">
      <alignment horizontal="left" vertical="center" wrapText="1"/>
    </xf>
    <xf numFmtId="1" fontId="31" fillId="2" borderId="26" xfId="0" applyNumberFormat="1" applyFont="1" applyFill="1" applyBorder="1" applyAlignment="1">
      <alignment horizontal="right" vertical="center" wrapText="1"/>
    </xf>
    <xf numFmtId="1" fontId="31" fillId="2" borderId="27" xfId="0" applyNumberFormat="1" applyFont="1" applyFill="1" applyBorder="1" applyAlignment="1">
      <alignment horizontal="left" vertical="center" wrapText="1"/>
    </xf>
    <xf numFmtId="1" fontId="5" fillId="2" borderId="26" xfId="0" applyNumberFormat="1" applyFont="1" applyFill="1" applyBorder="1" applyAlignment="1">
      <alignment horizontal="left" vertical="center" wrapText="1"/>
    </xf>
    <xf numFmtId="1" fontId="5" fillId="2" borderId="26" xfId="0" applyNumberFormat="1" applyFont="1" applyFill="1" applyBorder="1" applyAlignment="1">
      <alignment horizontal="right" vertical="center" wrapText="1"/>
    </xf>
    <xf numFmtId="1" fontId="31" fillId="2" borderId="31" xfId="0" applyNumberFormat="1" applyFont="1" applyFill="1" applyBorder="1" applyAlignment="1">
      <alignment horizontal="center" vertical="center" wrapText="1"/>
    </xf>
    <xf numFmtId="1" fontId="31" fillId="2" borderId="32" xfId="0" applyNumberFormat="1" applyFont="1" applyFill="1" applyBorder="1" applyAlignment="1">
      <alignment horizontal="left" vertical="center" wrapText="1"/>
    </xf>
    <xf numFmtId="1" fontId="31" fillId="2" borderId="32" xfId="0" applyNumberFormat="1" applyFont="1" applyFill="1" applyBorder="1" applyAlignment="1">
      <alignment horizontal="right" vertical="center" wrapText="1"/>
    </xf>
    <xf numFmtId="1" fontId="31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31" fillId="2" borderId="1" xfId="0" applyNumberFormat="1" applyFont="1" applyFill="1" applyBorder="1" applyAlignment="1">
      <alignment horizontal="center" vertical="center" wrapText="1"/>
    </xf>
    <xf numFmtId="1" fontId="31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right" vertical="center" wrapText="1"/>
    </xf>
    <xf numFmtId="1" fontId="39" fillId="2" borderId="0" xfId="0" applyNumberFormat="1" applyFont="1" applyFill="1" applyBorder="1" applyAlignment="1">
      <alignment vertical="top" wrapText="1" readingOrder="1"/>
    </xf>
    <xf numFmtId="1" fontId="38" fillId="0" borderId="1" xfId="0" applyNumberFormat="1" applyFont="1" applyFill="1" applyBorder="1" applyAlignment="1">
      <alignment vertical="top" wrapText="1" readingOrder="1"/>
    </xf>
    <xf numFmtId="1" fontId="24" fillId="2" borderId="0" xfId="0" applyNumberFormat="1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17" fillId="2" borderId="8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7" fillId="2" borderId="0" xfId="0" applyNumberFormat="1" applyFont="1" applyFill="1" applyBorder="1" applyAlignment="1" applyProtection="1">
      <alignment vertical="center"/>
    </xf>
    <xf numFmtId="0" fontId="16" fillId="2" borderId="0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" fontId="27" fillId="2" borderId="0" xfId="0" applyNumberFormat="1" applyFont="1" applyFill="1" applyAlignment="1" applyProtection="1">
      <alignment vertical="center"/>
      <protection locked="0"/>
    </xf>
    <xf numFmtId="1" fontId="8" fillId="0" borderId="1" xfId="0" applyNumberFormat="1" applyFont="1" applyFill="1" applyBorder="1" applyAlignment="1"/>
    <xf numFmtId="1" fontId="7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1" fontId="7" fillId="2" borderId="1" xfId="0" applyNumberFormat="1" applyFont="1" applyFill="1" applyBorder="1" applyAlignment="1"/>
    <xf numFmtId="1" fontId="16" fillId="0" borderId="1" xfId="0" applyNumberFormat="1" applyFont="1" applyFill="1" applyBorder="1" applyAlignment="1"/>
    <xf numFmtId="1" fontId="17" fillId="0" borderId="1" xfId="0" applyNumberFormat="1" applyFont="1" applyFill="1" applyBorder="1" applyAlignment="1"/>
    <xf numFmtId="2" fontId="8" fillId="2" borderId="1" xfId="0" applyNumberFormat="1" applyFont="1" applyFill="1" applyBorder="1" applyAlignment="1"/>
    <xf numFmtId="1" fontId="17" fillId="2" borderId="1" xfId="0" applyNumberFormat="1" applyFont="1" applyFill="1" applyBorder="1" applyAlignment="1">
      <alignment vertical="center" wrapText="1"/>
    </xf>
    <xf numFmtId="1" fontId="16" fillId="2" borderId="1" xfId="0" applyNumberFormat="1" applyFont="1" applyFill="1" applyBorder="1" applyAlignment="1"/>
    <xf numFmtId="1" fontId="7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top" wrapText="1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5" fillId="2" borderId="1" xfId="0" applyNumberFormat="1" applyFont="1" applyFill="1" applyBorder="1" applyAlignment="1">
      <alignment horizontal="right" vertical="center"/>
    </xf>
    <xf numFmtId="165" fontId="25" fillId="2" borderId="1" xfId="0" applyNumberFormat="1" applyFont="1" applyFill="1" applyBorder="1" applyAlignment="1">
      <alignment vertical="center"/>
    </xf>
    <xf numFmtId="165" fontId="16" fillId="2" borderId="0" xfId="0" applyNumberFormat="1" applyFont="1" applyFill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7" fillId="2" borderId="0" xfId="0" applyNumberFormat="1" applyFont="1" applyFill="1" applyAlignment="1">
      <alignment vertical="center"/>
    </xf>
    <xf numFmtId="165" fontId="24" fillId="2" borderId="1" xfId="0" applyNumberFormat="1" applyFont="1" applyFill="1" applyBorder="1" applyAlignment="1">
      <alignment horizontal="right" vertical="center"/>
    </xf>
    <xf numFmtId="165" fontId="24" fillId="2" borderId="1" xfId="0" applyNumberFormat="1" applyFont="1" applyFill="1" applyBorder="1" applyAlignment="1">
      <alignment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Protection="1">
      <alignment vertical="top" wrapText="1"/>
    </xf>
    <xf numFmtId="165" fontId="7" fillId="2" borderId="1" xfId="0" applyNumberFormat="1" applyFont="1" applyFill="1" applyBorder="1" applyProtection="1">
      <alignment vertical="top" wrapText="1"/>
    </xf>
    <xf numFmtId="1" fontId="8" fillId="2" borderId="12" xfId="0" applyNumberFormat="1" applyFont="1" applyFill="1" applyBorder="1" applyAlignment="1">
      <alignment horizontal="center" vertical="center"/>
    </xf>
    <xf numFmtId="1" fontId="8" fillId="2" borderId="12" xfId="0" applyNumberFormat="1" applyFont="1" applyFill="1" applyBorder="1" applyAlignment="1">
      <alignment vertical="center"/>
    </xf>
    <xf numFmtId="2" fontId="16" fillId="2" borderId="1" xfId="0" applyNumberFormat="1" applyFont="1" applyFill="1" applyBorder="1">
      <alignment vertical="top" wrapText="1"/>
    </xf>
    <xf numFmtId="2" fontId="17" fillId="2" borderId="1" xfId="0" applyNumberFormat="1" applyFont="1" applyFill="1" applyBorder="1">
      <alignment vertical="top" wrapText="1"/>
    </xf>
    <xf numFmtId="1" fontId="5" fillId="2" borderId="1" xfId="0" applyNumberFormat="1" applyFont="1" applyFill="1" applyBorder="1" applyProtection="1">
      <alignment vertical="top" wrapText="1"/>
      <protection locked="0"/>
    </xf>
    <xf numFmtId="165" fontId="39" fillId="2" borderId="1" xfId="0" applyNumberFormat="1" applyFont="1" applyFill="1" applyBorder="1" applyAlignment="1">
      <alignment vertical="top" wrapText="1" readingOrder="1"/>
    </xf>
    <xf numFmtId="165" fontId="40" fillId="2" borderId="1" xfId="0" applyNumberFormat="1" applyFont="1" applyFill="1" applyBorder="1" applyAlignment="1">
      <alignment vertical="top" wrapText="1" readingOrder="1"/>
    </xf>
    <xf numFmtId="165" fontId="3" fillId="2" borderId="0" xfId="0" applyNumberFormat="1" applyFont="1" applyFill="1" applyAlignment="1" applyProtection="1">
      <alignment vertical="center" wrapText="1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9" fillId="2" borderId="0" xfId="0" applyNumberFormat="1" applyFont="1" applyFill="1" applyBorder="1" applyAlignment="1">
      <alignment vertical="top" wrapText="1" readingOrder="1"/>
    </xf>
    <xf numFmtId="165" fontId="3" fillId="2" borderId="0" xfId="0" applyNumberFormat="1" applyFont="1" applyFill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3" fillId="2" borderId="0" xfId="0" applyNumberFormat="1" applyFont="1" applyFill="1" applyBorder="1" applyAlignment="1">
      <alignment vertical="center" wrapText="1"/>
    </xf>
    <xf numFmtId="165" fontId="26" fillId="2" borderId="0" xfId="0" applyNumberFormat="1" applyFont="1" applyFill="1" applyAlignment="1">
      <alignment vertical="center"/>
    </xf>
    <xf numFmtId="165" fontId="16" fillId="2" borderId="0" xfId="0" applyNumberFormat="1" applyFont="1" applyFill="1" applyAlignment="1">
      <alignment vertical="center" wrapText="1"/>
    </xf>
    <xf numFmtId="1" fontId="5" fillId="2" borderId="0" xfId="0" applyNumberFormat="1" applyFont="1" applyFill="1">
      <alignment vertical="top" wrapText="1"/>
    </xf>
    <xf numFmtId="1" fontId="31" fillId="2" borderId="1" xfId="0" applyNumberFormat="1" applyFont="1" applyFill="1" applyBorder="1" applyAlignment="1"/>
    <xf numFmtId="0" fontId="30" fillId="2" borderId="0" xfId="0" applyFont="1" applyFill="1" applyAlignment="1" applyProtection="1">
      <alignment vertical="center" wrapText="1"/>
      <protection locked="0"/>
    </xf>
    <xf numFmtId="2" fontId="11" fillId="2" borderId="0" xfId="0" applyNumberFormat="1" applyFont="1" applyFill="1" applyAlignment="1" applyProtection="1">
      <alignment vertical="center" wrapText="1"/>
      <protection locked="0"/>
    </xf>
    <xf numFmtId="1" fontId="30" fillId="2" borderId="0" xfId="0" applyNumberFormat="1" applyFont="1" applyFill="1" applyAlignment="1" applyProtection="1">
      <alignment vertical="center" wrapText="1"/>
      <protection locked="0"/>
    </xf>
    <xf numFmtId="1" fontId="11" fillId="2" borderId="0" xfId="0" applyNumberFormat="1" applyFont="1" applyFill="1" applyAlignment="1" applyProtection="1">
      <alignment vertical="center" wrapText="1"/>
      <protection locked="0"/>
    </xf>
    <xf numFmtId="1" fontId="7" fillId="0" borderId="1" xfId="0" applyNumberFormat="1" applyFont="1" applyFill="1" applyBorder="1" applyAlignment="1">
      <alignment vertical="center"/>
    </xf>
    <xf numFmtId="0" fontId="11" fillId="2" borderId="0" xfId="0" applyFont="1" applyFill="1" applyAlignment="1" applyProtection="1">
      <alignment vertical="center" wrapText="1"/>
      <protection locked="0"/>
    </xf>
    <xf numFmtId="1" fontId="40" fillId="0" borderId="1" xfId="0" applyNumberFormat="1" applyFont="1" applyFill="1" applyBorder="1" applyAlignment="1">
      <alignment vertical="center" wrapText="1"/>
    </xf>
    <xf numFmtId="0" fontId="30" fillId="2" borderId="0" xfId="0" applyFont="1" applyFill="1" applyAlignment="1" applyProtection="1">
      <alignment horizontal="center" vertical="center" wrapText="1"/>
      <protection locked="0"/>
    </xf>
    <xf numFmtId="165" fontId="8" fillId="2" borderId="0" xfId="0" applyNumberFormat="1" applyFont="1" applyFill="1" applyAlignment="1" applyProtection="1">
      <alignment vertical="center" wrapText="1"/>
      <protection locked="0"/>
    </xf>
    <xf numFmtId="1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7" xfId="0" applyNumberFormat="1" applyFont="1" applyFill="1" applyBorder="1" applyAlignment="1">
      <alignment horizontal="left" vertical="center" wrapText="1"/>
    </xf>
    <xf numFmtId="1" fontId="17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0" xfId="0" applyNumberFormat="1" applyFont="1" applyFill="1" applyProtection="1">
      <alignment vertical="top" wrapText="1"/>
      <protection locked="0"/>
    </xf>
    <xf numFmtId="0" fontId="28" fillId="2" borderId="0" xfId="0" applyFont="1" applyFill="1" applyAlignment="1">
      <alignment vertical="center" wrapText="1"/>
    </xf>
    <xf numFmtId="2" fontId="8" fillId="2" borderId="0" xfId="0" applyNumberFormat="1" applyFont="1" applyFill="1" applyAlignment="1" applyProtection="1">
      <alignment horizontal="center" vertical="center" wrapText="1"/>
      <protection locked="0"/>
    </xf>
    <xf numFmtId="1" fontId="28" fillId="2" borderId="0" xfId="0" applyNumberFormat="1" applyFont="1" applyFill="1" applyAlignment="1">
      <alignment vertical="center" wrapText="1"/>
    </xf>
    <xf numFmtId="1" fontId="16" fillId="2" borderId="1" xfId="0" applyNumberFormat="1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vertical="center"/>
    </xf>
    <xf numFmtId="0" fontId="32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vertical="center" wrapText="1"/>
    </xf>
    <xf numFmtId="1" fontId="11" fillId="2" borderId="0" xfId="0" applyNumberFormat="1" applyFont="1" applyFill="1" applyAlignment="1">
      <alignment vertical="center" wrapText="1"/>
    </xf>
    <xf numFmtId="165" fontId="3" fillId="2" borderId="0" xfId="0" applyNumberFormat="1" applyFont="1" applyFill="1">
      <alignment vertical="top" wrapText="1"/>
    </xf>
    <xf numFmtId="165" fontId="8" fillId="2" borderId="0" xfId="0" applyNumberFormat="1" applyFont="1" applyFill="1" applyAlignment="1">
      <alignment vertical="center" wrapText="1"/>
    </xf>
    <xf numFmtId="165" fontId="28" fillId="2" borderId="0" xfId="0" applyNumberFormat="1" applyFont="1" applyFill="1" applyAlignment="1">
      <alignment vertical="center" wrapText="1"/>
    </xf>
    <xf numFmtId="1" fontId="17" fillId="2" borderId="1" xfId="0" applyNumberFormat="1" applyFont="1" applyFill="1" applyBorder="1" applyAlignment="1"/>
    <xf numFmtId="1" fontId="16" fillId="2" borderId="1" xfId="0" applyNumberFormat="1" applyFont="1" applyFill="1" applyBorder="1" applyAlignment="1">
      <alignment horizontal="right"/>
    </xf>
    <xf numFmtId="1" fontId="16" fillId="2" borderId="1" xfId="0" applyNumberFormat="1" applyFont="1" applyFill="1" applyBorder="1" applyAlignment="1">
      <alignment horizontal="center" vertical="center" wrapText="1"/>
    </xf>
    <xf numFmtId="1" fontId="16" fillId="2" borderId="13" xfId="0" applyNumberFormat="1" applyFont="1" applyFill="1" applyBorder="1" applyAlignment="1">
      <alignment horizontal="center" vertical="center"/>
    </xf>
    <xf numFmtId="1" fontId="16" fillId="2" borderId="13" xfId="0" applyNumberFormat="1" applyFont="1" applyFill="1" applyBorder="1" applyAlignment="1">
      <alignment vertical="center"/>
    </xf>
    <xf numFmtId="165" fontId="12" fillId="2" borderId="0" xfId="0" applyNumberFormat="1" applyFont="1" applyFill="1">
      <alignment vertical="top" wrapText="1"/>
    </xf>
    <xf numFmtId="1" fontId="37" fillId="2" borderId="1" xfId="0" applyNumberFormat="1" applyFont="1" applyFill="1" applyBorder="1" applyAlignment="1">
      <alignment vertical="top" wrapText="1" readingOrder="1"/>
    </xf>
    <xf numFmtId="1" fontId="38" fillId="2" borderId="1" xfId="0" applyNumberFormat="1" applyFont="1" applyFill="1" applyBorder="1" applyAlignment="1">
      <alignment vertical="top" wrapText="1" readingOrder="1"/>
    </xf>
    <xf numFmtId="1" fontId="37" fillId="2" borderId="27" xfId="0" applyNumberFormat="1" applyFont="1" applyFill="1" applyBorder="1" applyAlignment="1">
      <alignment vertical="top" wrapText="1" readingOrder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/>
    <xf numFmtId="165" fontId="31" fillId="2" borderId="1" xfId="0" applyNumberFormat="1" applyFont="1" applyFill="1" applyBorder="1">
      <alignment vertical="top" wrapText="1"/>
    </xf>
    <xf numFmtId="165" fontId="5" fillId="2" borderId="1" xfId="0" applyNumberFormat="1" applyFont="1" applyFill="1" applyBorder="1">
      <alignment vertical="top" wrapText="1"/>
    </xf>
    <xf numFmtId="2" fontId="16" fillId="2" borderId="1" xfId="58" applyNumberFormat="1" applyFont="1" applyFill="1" applyBorder="1" applyAlignment="1">
      <alignment vertical="center"/>
    </xf>
    <xf numFmtId="2" fontId="17" fillId="2" borderId="1" xfId="58" applyNumberFormat="1" applyFont="1" applyFill="1" applyBorder="1" applyAlignment="1">
      <alignment vertical="center"/>
    </xf>
    <xf numFmtId="2" fontId="3" fillId="2" borderId="0" xfId="0" applyNumberFormat="1" applyFont="1" applyFill="1" applyAlignment="1">
      <alignment vertical="center"/>
    </xf>
    <xf numFmtId="1" fontId="16" fillId="2" borderId="0" xfId="0" applyNumberFormat="1" applyFont="1" applyFill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41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top" wrapText="1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1" fontId="7" fillId="2" borderId="5" xfId="0" applyNumberFormat="1" applyFont="1" applyFill="1" applyBorder="1" applyAlignment="1" applyProtection="1">
      <alignment horizontal="center" vertical="top" wrapText="1"/>
      <protection locked="0"/>
    </xf>
    <xf numFmtId="1" fontId="24" fillId="2" borderId="0" xfId="0" applyNumberFormat="1" applyFont="1" applyFill="1" applyAlignment="1" applyProtection="1">
      <alignment horizontal="center" vertical="center"/>
      <protection locked="0"/>
    </xf>
    <xf numFmtId="1" fontId="25" fillId="2" borderId="0" xfId="0" applyNumberFormat="1" applyFont="1" applyFill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 wrapText="1"/>
      <protection locked="0"/>
    </xf>
    <xf numFmtId="1" fontId="24" fillId="2" borderId="0" xfId="0" applyNumberFormat="1" applyFont="1" applyFill="1" applyAlignment="1" applyProtection="1">
      <alignment horizontal="center" vertical="top" wrapText="1"/>
      <protection locked="0"/>
    </xf>
    <xf numFmtId="0" fontId="35" fillId="2" borderId="0" xfId="0" applyFont="1" applyFill="1" applyAlignment="1" applyProtection="1">
      <alignment horizontal="center" vertical="center"/>
      <protection locked="0"/>
    </xf>
    <xf numFmtId="0" fontId="24" fillId="2" borderId="1" xfId="56" applyFont="1" applyFill="1" applyBorder="1" applyAlignment="1" applyProtection="1">
      <alignment horizontal="center" vertical="center" wrapText="1"/>
      <protection locked="0"/>
    </xf>
    <xf numFmtId="1" fontId="24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7" xfId="0" applyNumberFormat="1" applyFont="1" applyFill="1" applyBorder="1" applyAlignment="1">
      <alignment horizontal="center" vertical="center" wrapText="1"/>
    </xf>
    <xf numFmtId="1" fontId="17" fillId="2" borderId="14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/>
    </xf>
    <xf numFmtId="1" fontId="17" fillId="2" borderId="20" xfId="0" applyNumberFormat="1" applyFont="1" applyFill="1" applyBorder="1" applyAlignment="1">
      <alignment horizontal="center" vertical="center"/>
    </xf>
    <xf numFmtId="1" fontId="17" fillId="2" borderId="13" xfId="0" applyNumberFormat="1" applyFont="1" applyFill="1" applyBorder="1" applyAlignment="1">
      <alignment horizontal="center" vertical="center"/>
    </xf>
    <xf numFmtId="1" fontId="17" fillId="2" borderId="15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24" fillId="2" borderId="12" xfId="0" applyNumberFormat="1" applyFont="1" applyFill="1" applyBorder="1" applyAlignment="1">
      <alignment horizontal="center" vertical="center"/>
    </xf>
    <xf numFmtId="1" fontId="24" fillId="2" borderId="20" xfId="0" applyNumberFormat="1" applyFont="1" applyFill="1" applyBorder="1" applyAlignment="1">
      <alignment horizontal="center" vertical="center"/>
    </xf>
    <xf numFmtId="1" fontId="24" fillId="2" borderId="13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wrapText="1"/>
    </xf>
    <xf numFmtId="1" fontId="24" fillId="2" borderId="12" xfId="0" applyNumberFormat="1" applyFont="1" applyFill="1" applyBorder="1" applyAlignment="1">
      <alignment horizontal="center" vertical="center" wrapText="1"/>
    </xf>
    <xf numFmtId="1" fontId="24" fillId="2" borderId="20" xfId="0" applyNumberFormat="1" applyFont="1" applyFill="1" applyBorder="1" applyAlignment="1">
      <alignment horizontal="center" vertical="center" wrapText="1"/>
    </xf>
    <xf numFmtId="1" fontId="24" fillId="2" borderId="13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/>
    </xf>
    <xf numFmtId="1" fontId="7" fillId="2" borderId="20" xfId="0" applyNumberFormat="1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 wrapText="1"/>
    </xf>
    <xf numFmtId="165" fontId="7" fillId="2" borderId="13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18" xfId="0" applyNumberFormat="1" applyFont="1" applyFill="1" applyBorder="1" applyAlignment="1">
      <alignment horizontal="center" vertical="center" wrapText="1"/>
    </xf>
    <xf numFmtId="1" fontId="7" fillId="2" borderId="16" xfId="0" applyNumberFormat="1" applyFont="1" applyFill="1" applyBorder="1" applyAlignment="1">
      <alignment horizontal="center" vertical="center" wrapText="1"/>
    </xf>
    <xf numFmtId="1" fontId="7" fillId="2" borderId="17" xfId="0" applyNumberFormat="1" applyFont="1" applyFill="1" applyBorder="1" applyAlignment="1">
      <alignment horizontal="center" vertical="center" wrapText="1"/>
    </xf>
    <xf numFmtId="1" fontId="17" fillId="2" borderId="8" xfId="0" applyNumberFormat="1" applyFont="1" applyFill="1" applyBorder="1" applyAlignment="1">
      <alignment horizontal="center" vertical="center"/>
    </xf>
    <xf numFmtId="1" fontId="17" fillId="2" borderId="12" xfId="0" applyNumberFormat="1" applyFont="1" applyFill="1" applyBorder="1" applyAlignment="1">
      <alignment horizontal="center" vertical="center" wrapText="1"/>
    </xf>
    <xf numFmtId="1" fontId="17" fillId="2" borderId="20" xfId="0" applyNumberFormat="1" applyFont="1" applyFill="1" applyBorder="1" applyAlignment="1">
      <alignment horizontal="center" vertical="center" wrapText="1"/>
    </xf>
    <xf numFmtId="1" fontId="17" fillId="2" borderId="13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vertical="center" wrapText="1"/>
      <protection locked="0"/>
    </xf>
    <xf numFmtId="1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0" xfId="0" applyNumberFormat="1" applyFont="1" applyFill="1" applyBorder="1" applyAlignment="1">
      <alignment horizontal="center" vertical="top" wrapText="1"/>
    </xf>
    <xf numFmtId="2" fontId="11" fillId="2" borderId="0" xfId="0" applyNumberFormat="1" applyFont="1" applyFill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1" fontId="4" fillId="2" borderId="38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2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5" xfId="0" applyNumberFormat="1" applyFont="1" applyFill="1" applyBorder="1" applyAlignment="1" applyProtection="1">
      <alignment horizontal="left" vertical="center" wrapText="1"/>
      <protection locked="0"/>
    </xf>
    <xf numFmtId="2" fontId="7" fillId="2" borderId="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29" xfId="0" applyNumberFormat="1" applyFont="1" applyFill="1" applyBorder="1" applyAlignment="1">
      <alignment horizontal="center" vertical="center" wrapText="1"/>
    </xf>
    <xf numFmtId="1" fontId="5" fillId="2" borderId="30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3" fillId="2" borderId="0" xfId="0" applyNumberFormat="1" applyFont="1" applyFill="1" applyAlignment="1">
      <alignment horizontal="center" vertical="center"/>
    </xf>
    <xf numFmtId="0" fontId="7" fillId="2" borderId="12" xfId="0" applyNumberFormat="1" applyFont="1" applyFill="1" applyBorder="1" applyAlignment="1">
      <alignment horizontal="left" vertical="center" wrapText="1"/>
    </xf>
    <xf numFmtId="0" fontId="7" fillId="2" borderId="13" xfId="0" applyNumberFormat="1" applyFont="1" applyFill="1" applyBorder="1" applyAlignment="1">
      <alignment horizontal="left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</cellXfs>
  <cellStyles count="61">
    <cellStyle name="Comma" xfId="60" builtinId="3"/>
    <cellStyle name="Comma 2" xfId="1" xr:uid="{00000000-0005-0000-0000-000001000000}"/>
    <cellStyle name="Comma 3" xfId="2" xr:uid="{00000000-0005-0000-0000-000002000000}"/>
    <cellStyle name="Excel Built-in Normal" xfId="3" xr:uid="{00000000-0005-0000-0000-000003000000}"/>
    <cellStyle name="Excel Built-in Normal 2" xfId="4" xr:uid="{00000000-0005-0000-0000-000004000000}"/>
    <cellStyle name="Followed Hyperlink" xfId="5" builtinId="9" customBuiltin="1"/>
    <cellStyle name="Heading 1" xfId="6" builtinId="16" customBuiltin="1"/>
    <cellStyle name="Heading 1 2" xfId="7" xr:uid="{00000000-0005-0000-0000-000007000000}"/>
    <cellStyle name="Heading 1 2 2" xfId="8" xr:uid="{00000000-0005-0000-0000-000008000000}"/>
    <cellStyle name="Heading 1 3" xfId="9" xr:uid="{00000000-0005-0000-0000-000009000000}"/>
    <cellStyle name="Heading 2" xfId="10" builtinId="17" customBuiltin="1"/>
    <cellStyle name="Heading 2 2" xfId="11" xr:uid="{00000000-0005-0000-0000-00000B000000}"/>
    <cellStyle name="Heading 2 2 2" xfId="12" xr:uid="{00000000-0005-0000-0000-00000C000000}"/>
    <cellStyle name="Heading 2 3" xfId="13" xr:uid="{00000000-0005-0000-0000-00000D000000}"/>
    <cellStyle name="Hyperlink" xfId="14" builtinId="8" customBuiltin="1"/>
    <cellStyle name="Hyperlink 2" xfId="15" xr:uid="{00000000-0005-0000-0000-00000F000000}"/>
    <cellStyle name="Normal" xfId="0" builtinId="0" customBuiltin="1"/>
    <cellStyle name="Normal 190" xfId="16" xr:uid="{00000000-0005-0000-0000-000011000000}"/>
    <cellStyle name="Normal 2" xfId="17" xr:uid="{00000000-0005-0000-0000-000012000000}"/>
    <cellStyle name="Normal 2 2" xfId="18" xr:uid="{00000000-0005-0000-0000-000013000000}"/>
    <cellStyle name="Normal 2 2 2" xfId="19" xr:uid="{00000000-0005-0000-0000-000014000000}"/>
    <cellStyle name="Normal 2 2 2 2" xfId="20" xr:uid="{00000000-0005-0000-0000-000015000000}"/>
    <cellStyle name="Normal 2 2 2 2 2" xfId="21" xr:uid="{00000000-0005-0000-0000-000016000000}"/>
    <cellStyle name="Normal 2 2 2 2 3" xfId="22" xr:uid="{00000000-0005-0000-0000-000017000000}"/>
    <cellStyle name="Normal 2 2 2 2 4" xfId="23" xr:uid="{00000000-0005-0000-0000-000018000000}"/>
    <cellStyle name="Normal 2 2 2 3" xfId="24" xr:uid="{00000000-0005-0000-0000-000019000000}"/>
    <cellStyle name="Normal 2 2 3" xfId="25" xr:uid="{00000000-0005-0000-0000-00001A000000}"/>
    <cellStyle name="Normal 2 2 4" xfId="26" xr:uid="{00000000-0005-0000-0000-00001B000000}"/>
    <cellStyle name="Normal 2 2 5" xfId="27" xr:uid="{00000000-0005-0000-0000-00001C000000}"/>
    <cellStyle name="Normal 2 2 6" xfId="28" xr:uid="{00000000-0005-0000-0000-00001D000000}"/>
    <cellStyle name="Normal 2 3" xfId="29" xr:uid="{00000000-0005-0000-0000-00001E000000}"/>
    <cellStyle name="Normal 2 3 2" xfId="30" xr:uid="{00000000-0005-0000-0000-00001F000000}"/>
    <cellStyle name="Normal 2 3 2 2" xfId="31" xr:uid="{00000000-0005-0000-0000-000020000000}"/>
    <cellStyle name="Normal 2 3 2 3" xfId="32" xr:uid="{00000000-0005-0000-0000-000021000000}"/>
    <cellStyle name="Normal 2 3 3" xfId="33" xr:uid="{00000000-0005-0000-0000-000022000000}"/>
    <cellStyle name="Normal 2 3 4" xfId="34" xr:uid="{00000000-0005-0000-0000-000023000000}"/>
    <cellStyle name="Normal 2 4" xfId="35" xr:uid="{00000000-0005-0000-0000-000024000000}"/>
    <cellStyle name="Normal 2 5" xfId="36" xr:uid="{00000000-0005-0000-0000-000025000000}"/>
    <cellStyle name="Normal 224" xfId="37" xr:uid="{00000000-0005-0000-0000-000026000000}"/>
    <cellStyle name="Normal 225" xfId="38" xr:uid="{00000000-0005-0000-0000-000027000000}"/>
    <cellStyle name="Normal 226" xfId="39" xr:uid="{00000000-0005-0000-0000-000028000000}"/>
    <cellStyle name="Normal 227" xfId="40" xr:uid="{00000000-0005-0000-0000-000029000000}"/>
    <cellStyle name="Normal 228" xfId="41" xr:uid="{00000000-0005-0000-0000-00002A000000}"/>
    <cellStyle name="Normal 230" xfId="42" xr:uid="{00000000-0005-0000-0000-00002B000000}"/>
    <cellStyle name="Normal 231" xfId="43" xr:uid="{00000000-0005-0000-0000-00002C000000}"/>
    <cellStyle name="Normal 232" xfId="44" xr:uid="{00000000-0005-0000-0000-00002D000000}"/>
    <cellStyle name="Normal 233" xfId="45" xr:uid="{00000000-0005-0000-0000-00002E000000}"/>
    <cellStyle name="Normal 234" xfId="46" xr:uid="{00000000-0005-0000-0000-00002F000000}"/>
    <cellStyle name="Normal 235" xfId="47" xr:uid="{00000000-0005-0000-0000-000030000000}"/>
    <cellStyle name="Normal 238" xfId="48" xr:uid="{00000000-0005-0000-0000-000031000000}"/>
    <cellStyle name="Normal 239" xfId="49" xr:uid="{00000000-0005-0000-0000-000032000000}"/>
    <cellStyle name="Normal 3" xfId="50" xr:uid="{00000000-0005-0000-0000-000033000000}"/>
    <cellStyle name="Normal 3 2" xfId="51" xr:uid="{00000000-0005-0000-0000-000034000000}"/>
    <cellStyle name="Normal 3 2 2" xfId="52" xr:uid="{00000000-0005-0000-0000-000035000000}"/>
    <cellStyle name="Normal 3 2 3" xfId="53" xr:uid="{00000000-0005-0000-0000-000036000000}"/>
    <cellStyle name="Normal 3 3" xfId="54" xr:uid="{00000000-0005-0000-0000-000037000000}"/>
    <cellStyle name="Normal 4" xfId="55" xr:uid="{00000000-0005-0000-0000-000038000000}"/>
    <cellStyle name="Normal 5" xfId="56" xr:uid="{00000000-0005-0000-0000-000039000000}"/>
    <cellStyle name="Normal 6" xfId="57" xr:uid="{00000000-0005-0000-0000-00003A000000}"/>
    <cellStyle name="Normal 7" xfId="59" xr:uid="{00000000-0005-0000-0000-00003B000000}"/>
    <cellStyle name="Per cent" xfId="58" builtinId="5"/>
  </cellStyles>
  <dxfs count="59">
    <dxf>
      <font>
        <strike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 xr9:uid="{00000000-0011-0000-FFFF-FFFF00000000}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3:G59" totalsRowShown="0" headerRowDxfId="0" dataDxfId="51" totalsRowDxfId="50">
  <autoFilter ref="A3:G59" xr:uid="{00000000-0009-0000-0100-000001000000}"/>
  <tableColumns count="7">
    <tableColumn id="1" xr3:uid="{00000000-0010-0000-0000-000001000000}" name="Sr." dataDxfId="49" totalsRowDxfId="48"/>
    <tableColumn id="2" xr3:uid="{00000000-0010-0000-0000-000002000000}" name="BANKS" dataDxfId="47" totalsRowDxfId="46"/>
    <tableColumn id="3" xr3:uid="{00000000-0010-0000-0000-000003000000}" name="RURAL" dataDxfId="45" totalsRowDxfId="44"/>
    <tableColumn id="4" xr3:uid="{00000000-0010-0000-0000-000004000000}" name="SEMI URBAN" dataDxfId="43" totalsRowDxfId="42"/>
    <tableColumn id="5" xr3:uid="{00000000-0010-0000-0000-000005000000}" name="URBAN" dataDxfId="41" totalsRowDxfId="40"/>
    <tableColumn id="6" xr3:uid="{00000000-0010-0000-0000-000006000000}" name="TOTAL" dataDxfId="39" totalsRowDxfId="38">
      <calculatedColumnFormula>CustomerList[[#This Row],[URBAN]]+CustomerList[[#This Row],[SEMI URBAN]]+CustomerList[[#This Row],[RURAL]]</calculatedColumnFormula>
    </tableColumn>
    <tableColumn id="8" xr3:uid="{00000000-0010-0000-0000-000008000000}" name="ATMS" dataDxfId="37" totalsRowDxfId="36"/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3"/>
    <pageSetUpPr autoPageBreaks="0"/>
  </sheetPr>
  <dimension ref="A1:G64"/>
  <sheetViews>
    <sheetView showGridLines="0" tabSelected="1" view="pageBreakPreview" zoomScale="6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0" sqref="J10"/>
    </sheetView>
  </sheetViews>
  <sheetFormatPr baseColWidth="10" defaultColWidth="9.19921875" defaultRowHeight="18.75" customHeight="1" x14ac:dyDescent="0.2"/>
  <cols>
    <col min="1" max="1" width="5.796875" style="31" customWidth="1"/>
    <col min="2" max="2" width="31.59765625" style="31" customWidth="1"/>
    <col min="3" max="3" width="11.19921875" style="33" customWidth="1"/>
    <col min="4" max="4" width="13.19921875" style="33" customWidth="1"/>
    <col min="5" max="5" width="12.19921875" style="33" customWidth="1"/>
    <col min="6" max="6" width="11" style="66" customWidth="1"/>
    <col min="7" max="7" width="14.19921875" style="33" customWidth="1"/>
    <col min="8" max="16384" width="9.19921875" style="31"/>
  </cols>
  <sheetData>
    <row r="1" spans="1:7" ht="18.75" customHeight="1" x14ac:dyDescent="0.2">
      <c r="A1" s="384" t="s">
        <v>1052</v>
      </c>
      <c r="B1" s="384"/>
      <c r="C1" s="384"/>
      <c r="D1" s="384"/>
      <c r="E1" s="384"/>
      <c r="F1" s="384"/>
      <c r="G1" s="384"/>
    </row>
    <row r="2" spans="1:7" s="32" customFormat="1" ht="15" customHeight="1" x14ac:dyDescent="0.2">
      <c r="A2" s="385" t="s">
        <v>92</v>
      </c>
      <c r="B2" s="385"/>
      <c r="C2" s="385"/>
      <c r="D2" s="385"/>
      <c r="E2" s="385"/>
      <c r="F2" s="385"/>
      <c r="G2" s="385"/>
    </row>
    <row r="3" spans="1:7" s="511" customFormat="1" ht="22" customHeight="1" x14ac:dyDescent="0.2">
      <c r="A3" s="510" t="s">
        <v>110</v>
      </c>
      <c r="B3" s="510" t="s">
        <v>2</v>
      </c>
      <c r="C3" s="510" t="s">
        <v>3</v>
      </c>
      <c r="D3" s="510" t="s">
        <v>4</v>
      </c>
      <c r="E3" s="510" t="s">
        <v>5</v>
      </c>
      <c r="F3" s="510" t="s">
        <v>0</v>
      </c>
      <c r="G3" s="510" t="s">
        <v>6</v>
      </c>
    </row>
    <row r="4" spans="1:7" ht="14" customHeight="1" x14ac:dyDescent="0.2">
      <c r="A4" s="141">
        <v>1</v>
      </c>
      <c r="B4" s="1" t="s">
        <v>51</v>
      </c>
      <c r="C4" s="1">
        <v>45</v>
      </c>
      <c r="D4" s="1">
        <v>87</v>
      </c>
      <c r="E4" s="1">
        <v>138</v>
      </c>
      <c r="F4" s="1">
        <f>CustomerList[[#This Row],[URBAN]]+CustomerList[[#This Row],[SEMI URBAN]]+CustomerList[[#This Row],[RURAL]]</f>
        <v>270</v>
      </c>
      <c r="G4" s="1">
        <v>385</v>
      </c>
    </row>
    <row r="5" spans="1:7" ht="14" customHeight="1" x14ac:dyDescent="0.2">
      <c r="A5" s="275">
        <v>2</v>
      </c>
      <c r="B5" s="276" t="s">
        <v>52</v>
      </c>
      <c r="C5" s="276">
        <v>166</v>
      </c>
      <c r="D5" s="276">
        <v>136</v>
      </c>
      <c r="E5" s="276">
        <v>139</v>
      </c>
      <c r="F5" s="1">
        <f>CustomerList[[#This Row],[URBAN]]+CustomerList[[#This Row],[SEMI URBAN]]+CustomerList[[#This Row],[RURAL]]</f>
        <v>441</v>
      </c>
      <c r="G5" s="277">
        <v>711</v>
      </c>
    </row>
    <row r="6" spans="1:7" ht="14" customHeight="1" x14ac:dyDescent="0.2">
      <c r="A6" s="141">
        <v>3</v>
      </c>
      <c r="B6" s="276" t="s">
        <v>53</v>
      </c>
      <c r="C6" s="276">
        <v>78</v>
      </c>
      <c r="D6" s="276">
        <v>22</v>
      </c>
      <c r="E6" s="276">
        <v>53</v>
      </c>
      <c r="F6" s="1">
        <f>CustomerList[[#This Row],[URBAN]]+CustomerList[[#This Row],[SEMI URBAN]]+CustomerList[[#This Row],[RURAL]]</f>
        <v>153</v>
      </c>
      <c r="G6" s="277">
        <v>109</v>
      </c>
    </row>
    <row r="7" spans="1:7" ht="14" customHeight="1" x14ac:dyDescent="0.2">
      <c r="A7" s="275">
        <v>4</v>
      </c>
      <c r="B7" s="276" t="s">
        <v>54</v>
      </c>
      <c r="C7" s="276">
        <v>48</v>
      </c>
      <c r="D7" s="276">
        <v>118</v>
      </c>
      <c r="E7" s="276">
        <v>152</v>
      </c>
      <c r="F7" s="1">
        <f>CustomerList[[#This Row],[URBAN]]+CustomerList[[#This Row],[SEMI URBAN]]+CustomerList[[#This Row],[RURAL]]</f>
        <v>318</v>
      </c>
      <c r="G7" s="277">
        <f>248+22</f>
        <v>270</v>
      </c>
    </row>
    <row r="8" spans="1:7" ht="14" customHeight="1" x14ac:dyDescent="0.2">
      <c r="A8" s="141">
        <v>5</v>
      </c>
      <c r="B8" s="276" t="s">
        <v>55</v>
      </c>
      <c r="C8" s="276">
        <v>229</v>
      </c>
      <c r="D8" s="276">
        <v>135</v>
      </c>
      <c r="E8" s="276">
        <v>97</v>
      </c>
      <c r="F8" s="1">
        <f>CustomerList[[#This Row],[URBAN]]+CustomerList[[#This Row],[SEMI URBAN]]+CustomerList[[#This Row],[RURAL]]</f>
        <v>461</v>
      </c>
      <c r="G8" s="277">
        <v>463</v>
      </c>
    </row>
    <row r="9" spans="1:7" ht="14" customHeight="1" x14ac:dyDescent="0.2">
      <c r="A9" s="275">
        <v>6</v>
      </c>
      <c r="B9" s="276" t="s">
        <v>56</v>
      </c>
      <c r="C9" s="276">
        <v>80</v>
      </c>
      <c r="D9" s="276">
        <v>53</v>
      </c>
      <c r="E9" s="276">
        <v>101</v>
      </c>
      <c r="F9" s="1">
        <f>CustomerList[[#This Row],[URBAN]]+CustomerList[[#This Row],[SEMI URBAN]]+CustomerList[[#This Row],[RURAL]]</f>
        <v>234</v>
      </c>
      <c r="G9" s="277">
        <v>93</v>
      </c>
    </row>
    <row r="10" spans="1:7" ht="14" customHeight="1" x14ac:dyDescent="0.2">
      <c r="A10" s="141">
        <v>7</v>
      </c>
      <c r="B10" s="276" t="s">
        <v>57</v>
      </c>
      <c r="C10" s="276">
        <v>9</v>
      </c>
      <c r="D10" s="276">
        <v>6</v>
      </c>
      <c r="E10" s="276">
        <v>42</v>
      </c>
      <c r="F10" s="1">
        <f>CustomerList[[#This Row],[URBAN]]+CustomerList[[#This Row],[SEMI URBAN]]+CustomerList[[#This Row],[RURAL]]</f>
        <v>57</v>
      </c>
      <c r="G10" s="277">
        <v>44</v>
      </c>
    </row>
    <row r="11" spans="1:7" ht="14" customHeight="1" x14ac:dyDescent="0.2">
      <c r="A11" s="275">
        <v>8</v>
      </c>
      <c r="B11" s="276" t="s">
        <v>178</v>
      </c>
      <c r="C11" s="276">
        <v>10</v>
      </c>
      <c r="D11" s="276">
        <v>6</v>
      </c>
      <c r="E11" s="276">
        <v>24</v>
      </c>
      <c r="F11" s="1">
        <f>CustomerList[[#This Row],[URBAN]]+CustomerList[[#This Row],[SEMI URBAN]]+CustomerList[[#This Row],[RURAL]]</f>
        <v>40</v>
      </c>
      <c r="G11" s="277">
        <v>28</v>
      </c>
    </row>
    <row r="12" spans="1:7" ht="12.75" customHeight="1" x14ac:dyDescent="0.2">
      <c r="A12" s="141">
        <v>9</v>
      </c>
      <c r="B12" s="276" t="s">
        <v>58</v>
      </c>
      <c r="C12" s="276">
        <v>90</v>
      </c>
      <c r="D12" s="276">
        <v>100</v>
      </c>
      <c r="E12" s="276">
        <v>181</v>
      </c>
      <c r="F12" s="1">
        <f>CustomerList[[#This Row],[URBAN]]+CustomerList[[#This Row],[SEMI URBAN]]+CustomerList[[#This Row],[RURAL]]</f>
        <v>371</v>
      </c>
      <c r="G12" s="277">
        <v>568</v>
      </c>
    </row>
    <row r="13" spans="1:7" ht="14" customHeight="1" x14ac:dyDescent="0.2">
      <c r="A13" s="275">
        <v>10</v>
      </c>
      <c r="B13" s="276" t="s">
        <v>64</v>
      </c>
      <c r="C13" s="276">
        <v>340</v>
      </c>
      <c r="D13" s="276">
        <v>367</v>
      </c>
      <c r="E13" s="276">
        <v>403</v>
      </c>
      <c r="F13" s="1">
        <f>CustomerList[[#This Row],[URBAN]]+CustomerList[[#This Row],[SEMI URBAN]]+CustomerList[[#This Row],[RURAL]]</f>
        <v>1110</v>
      </c>
      <c r="G13" s="277">
        <v>4210</v>
      </c>
    </row>
    <row r="14" spans="1:7" ht="14" customHeight="1" x14ac:dyDescent="0.2">
      <c r="A14" s="141">
        <v>11</v>
      </c>
      <c r="B14" s="276" t="s">
        <v>179</v>
      </c>
      <c r="C14" s="276">
        <v>41</v>
      </c>
      <c r="D14" s="276">
        <v>44</v>
      </c>
      <c r="E14" s="276">
        <v>82</v>
      </c>
      <c r="F14" s="1">
        <f>CustomerList[[#This Row],[URBAN]]+CustomerList[[#This Row],[SEMI URBAN]]+CustomerList[[#This Row],[RURAL]]</f>
        <v>167</v>
      </c>
      <c r="G14" s="277">
        <v>121</v>
      </c>
    </row>
    <row r="15" spans="1:7" ht="14" customHeight="1" x14ac:dyDescent="0.2">
      <c r="A15" s="275">
        <v>12</v>
      </c>
      <c r="B15" s="276" t="s">
        <v>60</v>
      </c>
      <c r="C15" s="276">
        <v>100</v>
      </c>
      <c r="D15" s="276">
        <v>103</v>
      </c>
      <c r="E15" s="276">
        <v>190</v>
      </c>
      <c r="F15" s="1">
        <f>CustomerList[[#This Row],[URBAN]]+CustomerList[[#This Row],[SEMI URBAN]]+CustomerList[[#This Row],[RURAL]]</f>
        <v>393</v>
      </c>
      <c r="G15" s="277">
        <v>466</v>
      </c>
    </row>
    <row r="16" spans="1:7" s="64" customFormat="1" ht="14" customHeight="1" x14ac:dyDescent="0.2">
      <c r="A16" s="265"/>
      <c r="B16" s="278" t="s">
        <v>215</v>
      </c>
      <c r="C16" s="278">
        <f>SUBTOTAL(109,C4:C15)</f>
        <v>1236</v>
      </c>
      <c r="D16" s="278">
        <f t="shared" ref="D16:G16" si="0">SUBTOTAL(109,D4:D15)</f>
        <v>1177</v>
      </c>
      <c r="E16" s="278">
        <f t="shared" si="0"/>
        <v>1602</v>
      </c>
      <c r="F16" s="138">
        <f>CustomerList[[#This Row],[URBAN]]+CustomerList[[#This Row],[SEMI URBAN]]+CustomerList[[#This Row],[RURAL]]</f>
        <v>4015</v>
      </c>
      <c r="G16" s="278">
        <f t="shared" si="0"/>
        <v>7468</v>
      </c>
    </row>
    <row r="17" spans="1:7" ht="14" customHeight="1" x14ac:dyDescent="0.2">
      <c r="A17" s="275">
        <v>13</v>
      </c>
      <c r="B17" s="276" t="s">
        <v>41</v>
      </c>
      <c r="C17" s="276">
        <v>31</v>
      </c>
      <c r="D17" s="276">
        <v>63</v>
      </c>
      <c r="E17" s="276">
        <v>97</v>
      </c>
      <c r="F17" s="1">
        <f>CustomerList[[#This Row],[URBAN]]+CustomerList[[#This Row],[SEMI URBAN]]+CustomerList[[#This Row],[RURAL]]</f>
        <v>191</v>
      </c>
      <c r="G17" s="277">
        <v>481</v>
      </c>
    </row>
    <row r="18" spans="1:7" ht="14" customHeight="1" x14ac:dyDescent="0.2">
      <c r="A18" s="141">
        <v>14</v>
      </c>
      <c r="B18" s="276" t="s">
        <v>180</v>
      </c>
      <c r="C18" s="276">
        <v>28</v>
      </c>
      <c r="D18" s="276">
        <v>147</v>
      </c>
      <c r="E18" s="276">
        <v>109</v>
      </c>
      <c r="F18" s="1">
        <f>CustomerList[[#This Row],[URBAN]]+CustomerList[[#This Row],[SEMI URBAN]]+CustomerList[[#This Row],[RURAL]]</f>
        <v>284</v>
      </c>
      <c r="G18" s="277">
        <v>24</v>
      </c>
    </row>
    <row r="19" spans="1:7" ht="14" customHeight="1" x14ac:dyDescent="0.2">
      <c r="A19" s="275">
        <v>15</v>
      </c>
      <c r="B19" s="276" t="s">
        <v>181</v>
      </c>
      <c r="C19" s="276">
        <v>0</v>
      </c>
      <c r="D19" s="276">
        <v>0</v>
      </c>
      <c r="E19" s="276">
        <v>3</v>
      </c>
      <c r="F19" s="1">
        <f>CustomerList[[#This Row],[URBAN]]+CustomerList[[#This Row],[SEMI URBAN]]+CustomerList[[#This Row],[RURAL]]</f>
        <v>3</v>
      </c>
      <c r="G19" s="277">
        <v>1</v>
      </c>
    </row>
    <row r="20" spans="1:7" ht="14" customHeight="1" x14ac:dyDescent="0.2">
      <c r="A20" s="141">
        <v>16</v>
      </c>
      <c r="B20" s="276" t="s">
        <v>45</v>
      </c>
      <c r="C20" s="276">
        <v>0</v>
      </c>
      <c r="D20" s="276">
        <v>2</v>
      </c>
      <c r="E20" s="276">
        <v>2</v>
      </c>
      <c r="F20" s="1">
        <f>CustomerList[[#This Row],[URBAN]]+CustomerList[[#This Row],[SEMI URBAN]]+CustomerList[[#This Row],[RURAL]]</f>
        <v>4</v>
      </c>
      <c r="G20" s="277">
        <v>5</v>
      </c>
    </row>
    <row r="21" spans="1:7" ht="14" customHeight="1" x14ac:dyDescent="0.2">
      <c r="A21" s="275">
        <v>17</v>
      </c>
      <c r="B21" s="276" t="s">
        <v>182</v>
      </c>
      <c r="C21" s="276">
        <v>13</v>
      </c>
      <c r="D21" s="276">
        <v>12</v>
      </c>
      <c r="E21" s="276">
        <v>6</v>
      </c>
      <c r="F21" s="1">
        <f>CustomerList[[#This Row],[URBAN]]+CustomerList[[#This Row],[SEMI URBAN]]+CustomerList[[#This Row],[RURAL]]</f>
        <v>31</v>
      </c>
      <c r="G21" s="277">
        <v>27</v>
      </c>
    </row>
    <row r="22" spans="1:7" s="64" customFormat="1" ht="14" customHeight="1" x14ac:dyDescent="0.2">
      <c r="A22" s="275">
        <v>18</v>
      </c>
      <c r="B22" s="276" t="s">
        <v>183</v>
      </c>
      <c r="C22" s="276">
        <v>0</v>
      </c>
      <c r="D22" s="276">
        <v>0</v>
      </c>
      <c r="E22" s="276">
        <v>1</v>
      </c>
      <c r="F22" s="1">
        <f>CustomerList[[#This Row],[URBAN]]+CustomerList[[#This Row],[SEMI URBAN]]+CustomerList[[#This Row],[RURAL]]</f>
        <v>1</v>
      </c>
      <c r="G22" s="276">
        <v>1</v>
      </c>
    </row>
    <row r="23" spans="1:7" ht="14" customHeight="1" x14ac:dyDescent="0.2">
      <c r="A23" s="141">
        <v>19</v>
      </c>
      <c r="B23" s="276" t="s">
        <v>184</v>
      </c>
      <c r="C23" s="276">
        <v>1</v>
      </c>
      <c r="D23" s="276">
        <v>2</v>
      </c>
      <c r="E23" s="276">
        <v>8</v>
      </c>
      <c r="F23" s="1">
        <f>CustomerList[[#This Row],[URBAN]]+CustomerList[[#This Row],[SEMI URBAN]]+CustomerList[[#This Row],[RURAL]]</f>
        <v>11</v>
      </c>
      <c r="G23" s="277">
        <v>11</v>
      </c>
    </row>
    <row r="24" spans="1:7" ht="14" customHeight="1" x14ac:dyDescent="0.2">
      <c r="A24" s="275">
        <v>20</v>
      </c>
      <c r="B24" s="276" t="s">
        <v>65</v>
      </c>
      <c r="C24" s="276">
        <v>11</v>
      </c>
      <c r="D24" s="276">
        <v>75</v>
      </c>
      <c r="E24" s="276">
        <v>100</v>
      </c>
      <c r="F24" s="1">
        <f>CustomerList[[#This Row],[URBAN]]+CustomerList[[#This Row],[SEMI URBAN]]+CustomerList[[#This Row],[RURAL]]</f>
        <v>186</v>
      </c>
      <c r="G24" s="277">
        <v>300</v>
      </c>
    </row>
    <row r="25" spans="1:7" ht="14" customHeight="1" x14ac:dyDescent="0.2">
      <c r="A25" s="141">
        <v>21</v>
      </c>
      <c r="B25" s="276" t="s">
        <v>66</v>
      </c>
      <c r="C25" s="276">
        <v>61</v>
      </c>
      <c r="D25" s="276">
        <v>89</v>
      </c>
      <c r="E25" s="276">
        <v>104</v>
      </c>
      <c r="F25" s="1">
        <f>CustomerList[[#This Row],[URBAN]]+CustomerList[[#This Row],[SEMI URBAN]]+CustomerList[[#This Row],[RURAL]]</f>
        <v>254</v>
      </c>
      <c r="G25" s="277">
        <v>407</v>
      </c>
    </row>
    <row r="26" spans="1:7" ht="14" customHeight="1" x14ac:dyDescent="0.2">
      <c r="A26" s="275">
        <v>22</v>
      </c>
      <c r="B26" s="276" t="s">
        <v>75</v>
      </c>
      <c r="C26" s="276">
        <v>24</v>
      </c>
      <c r="D26" s="276">
        <v>35</v>
      </c>
      <c r="E26" s="276">
        <v>47</v>
      </c>
      <c r="F26" s="1">
        <f>CustomerList[[#This Row],[URBAN]]+CustomerList[[#This Row],[SEMI URBAN]]+CustomerList[[#This Row],[RURAL]]</f>
        <v>106</v>
      </c>
      <c r="G26" s="277">
        <v>186</v>
      </c>
    </row>
    <row r="27" spans="1:7" ht="14" customHeight="1" x14ac:dyDescent="0.2">
      <c r="A27" s="141">
        <v>23</v>
      </c>
      <c r="B27" s="276" t="s">
        <v>379</v>
      </c>
      <c r="C27" s="276">
        <v>19</v>
      </c>
      <c r="D27" s="276">
        <v>20</v>
      </c>
      <c r="E27" s="276">
        <v>32</v>
      </c>
      <c r="F27" s="1">
        <f>CustomerList[[#This Row],[URBAN]]+CustomerList[[#This Row],[SEMI URBAN]]+CustomerList[[#This Row],[RURAL]]</f>
        <v>71</v>
      </c>
      <c r="G27" s="277">
        <v>24</v>
      </c>
    </row>
    <row r="28" spans="1:7" ht="14" customHeight="1" x14ac:dyDescent="0.2">
      <c r="A28" s="275">
        <v>24</v>
      </c>
      <c r="B28" s="276" t="s">
        <v>185</v>
      </c>
      <c r="C28" s="276">
        <v>33</v>
      </c>
      <c r="D28" s="276">
        <v>22</v>
      </c>
      <c r="E28" s="276">
        <v>45</v>
      </c>
      <c r="F28" s="1">
        <f>CustomerList[[#This Row],[URBAN]]+CustomerList[[#This Row],[SEMI URBAN]]+CustomerList[[#This Row],[RURAL]]</f>
        <v>100</v>
      </c>
      <c r="G28" s="277">
        <v>83</v>
      </c>
    </row>
    <row r="29" spans="1:7" ht="14" customHeight="1" x14ac:dyDescent="0.2">
      <c r="A29" s="141">
        <v>25</v>
      </c>
      <c r="B29" s="276" t="s">
        <v>186</v>
      </c>
      <c r="C29" s="276">
        <v>0</v>
      </c>
      <c r="D29" s="276">
        <v>0</v>
      </c>
      <c r="E29" s="276">
        <v>2</v>
      </c>
      <c r="F29" s="1">
        <f>CustomerList[[#This Row],[URBAN]]+CustomerList[[#This Row],[SEMI URBAN]]+CustomerList[[#This Row],[RURAL]]</f>
        <v>2</v>
      </c>
      <c r="G29" s="277">
        <v>1</v>
      </c>
    </row>
    <row r="30" spans="1:7" ht="14" customHeight="1" x14ac:dyDescent="0.2">
      <c r="A30" s="275">
        <v>26</v>
      </c>
      <c r="B30" s="276" t="s">
        <v>187</v>
      </c>
      <c r="C30" s="276">
        <v>0</v>
      </c>
      <c r="D30" s="276">
        <v>0</v>
      </c>
      <c r="E30" s="276">
        <v>7</v>
      </c>
      <c r="F30" s="1">
        <f>CustomerList[[#This Row],[URBAN]]+CustomerList[[#This Row],[SEMI URBAN]]+CustomerList[[#This Row],[RURAL]]</f>
        <v>7</v>
      </c>
      <c r="G30" s="277">
        <v>7</v>
      </c>
    </row>
    <row r="31" spans="1:7" ht="14" customHeight="1" x14ac:dyDescent="0.2">
      <c r="A31" s="141">
        <v>27</v>
      </c>
      <c r="B31" s="276" t="s">
        <v>188</v>
      </c>
      <c r="C31" s="276">
        <v>0</v>
      </c>
      <c r="D31" s="276">
        <v>0</v>
      </c>
      <c r="E31" s="276">
        <v>4</v>
      </c>
      <c r="F31" s="1">
        <f>CustomerList[[#This Row],[URBAN]]+CustomerList[[#This Row],[SEMI URBAN]]+CustomerList[[#This Row],[RURAL]]</f>
        <v>4</v>
      </c>
      <c r="G31" s="277">
        <v>4</v>
      </c>
    </row>
    <row r="32" spans="1:7" ht="14" customHeight="1" x14ac:dyDescent="0.2">
      <c r="A32" s="275">
        <v>28</v>
      </c>
      <c r="B32" s="276" t="s">
        <v>67</v>
      </c>
      <c r="C32" s="276">
        <v>7</v>
      </c>
      <c r="D32" s="276">
        <v>12</v>
      </c>
      <c r="E32" s="276">
        <v>27</v>
      </c>
      <c r="F32" s="1">
        <f>CustomerList[[#This Row],[URBAN]]+CustomerList[[#This Row],[SEMI URBAN]]+CustomerList[[#This Row],[RURAL]]</f>
        <v>46</v>
      </c>
      <c r="G32" s="277">
        <v>45</v>
      </c>
    </row>
    <row r="33" spans="1:7" ht="14" customHeight="1" x14ac:dyDescent="0.2">
      <c r="A33" s="141">
        <v>29</v>
      </c>
      <c r="B33" s="276" t="s">
        <v>189</v>
      </c>
      <c r="C33" s="276">
        <v>0</v>
      </c>
      <c r="D33" s="276">
        <v>1</v>
      </c>
      <c r="E33" s="276">
        <v>3</v>
      </c>
      <c r="F33" s="1">
        <f>CustomerList[[#This Row],[URBAN]]+CustomerList[[#This Row],[SEMI URBAN]]+CustomerList[[#This Row],[RURAL]]</f>
        <v>4</v>
      </c>
      <c r="G33" s="277">
        <v>5</v>
      </c>
    </row>
    <row r="34" spans="1:7" ht="14" customHeight="1" x14ac:dyDescent="0.2">
      <c r="A34" s="275">
        <v>30</v>
      </c>
      <c r="B34" s="276" t="s">
        <v>190</v>
      </c>
      <c r="C34" s="276">
        <v>4</v>
      </c>
      <c r="D34" s="276">
        <v>6</v>
      </c>
      <c r="E34" s="276">
        <v>4</v>
      </c>
      <c r="F34" s="1">
        <f>CustomerList[[#This Row],[URBAN]]+CustomerList[[#This Row],[SEMI URBAN]]+CustomerList[[#This Row],[RURAL]]</f>
        <v>14</v>
      </c>
      <c r="G34" s="277">
        <v>10</v>
      </c>
    </row>
    <row r="35" spans="1:7" ht="14" customHeight="1" x14ac:dyDescent="0.2">
      <c r="A35" s="141">
        <v>31</v>
      </c>
      <c r="B35" s="276" t="s">
        <v>191</v>
      </c>
      <c r="C35" s="276">
        <v>0</v>
      </c>
      <c r="D35" s="276">
        <v>0</v>
      </c>
      <c r="E35" s="276">
        <v>4</v>
      </c>
      <c r="F35" s="1">
        <f>CustomerList[[#This Row],[URBAN]]+CustomerList[[#This Row],[SEMI URBAN]]+CustomerList[[#This Row],[RURAL]]</f>
        <v>4</v>
      </c>
      <c r="G35" s="277">
        <v>4</v>
      </c>
    </row>
    <row r="36" spans="1:7" ht="14" customHeight="1" x14ac:dyDescent="0.2">
      <c r="A36" s="275">
        <v>32</v>
      </c>
      <c r="B36" s="276" t="s">
        <v>71</v>
      </c>
      <c r="C36" s="276">
        <v>0</v>
      </c>
      <c r="D36" s="276">
        <v>0</v>
      </c>
      <c r="E36" s="276">
        <v>3</v>
      </c>
      <c r="F36" s="1">
        <f>CustomerList[[#This Row],[URBAN]]+CustomerList[[#This Row],[SEMI URBAN]]+CustomerList[[#This Row],[RURAL]]</f>
        <v>3</v>
      </c>
      <c r="G36" s="277">
        <v>3</v>
      </c>
    </row>
    <row r="37" spans="1:7" ht="14" customHeight="1" x14ac:dyDescent="0.2">
      <c r="A37" s="141">
        <v>33</v>
      </c>
      <c r="B37" s="276" t="s">
        <v>192</v>
      </c>
      <c r="C37" s="276">
        <v>0</v>
      </c>
      <c r="D37" s="276">
        <v>2</v>
      </c>
      <c r="E37" s="276">
        <v>1</v>
      </c>
      <c r="F37" s="1">
        <f>CustomerList[[#This Row],[URBAN]]+CustomerList[[#This Row],[SEMI URBAN]]+CustomerList[[#This Row],[RURAL]]</f>
        <v>3</v>
      </c>
      <c r="G37" s="277">
        <v>0</v>
      </c>
    </row>
    <row r="38" spans="1:7" ht="14" customHeight="1" x14ac:dyDescent="0.2">
      <c r="A38" s="275">
        <v>34</v>
      </c>
      <c r="B38" s="276" t="s">
        <v>70</v>
      </c>
      <c r="C38" s="276">
        <v>12</v>
      </c>
      <c r="D38" s="276">
        <v>22</v>
      </c>
      <c r="E38" s="276">
        <v>21</v>
      </c>
      <c r="F38" s="1">
        <f>CustomerList[[#This Row],[URBAN]]+CustomerList[[#This Row],[SEMI URBAN]]+CustomerList[[#This Row],[RURAL]]</f>
        <v>55</v>
      </c>
      <c r="G38" s="277">
        <v>49</v>
      </c>
    </row>
    <row r="39" spans="1:7" s="64" customFormat="1" ht="14" customHeight="1" x14ac:dyDescent="0.2">
      <c r="A39" s="265"/>
      <c r="B39" s="278" t="s">
        <v>212</v>
      </c>
      <c r="C39" s="278">
        <f>SUBTOTAL(109,C17:C38)</f>
        <v>244</v>
      </c>
      <c r="D39" s="278">
        <f t="shared" ref="D39:G39" si="1">SUBTOTAL(109,D17:D38)</f>
        <v>510</v>
      </c>
      <c r="E39" s="278">
        <f t="shared" si="1"/>
        <v>630</v>
      </c>
      <c r="F39" s="138">
        <f>CustomerList[[#This Row],[URBAN]]+CustomerList[[#This Row],[SEMI URBAN]]+CustomerList[[#This Row],[RURAL]]</f>
        <v>1384</v>
      </c>
      <c r="G39" s="278">
        <f t="shared" si="1"/>
        <v>1678</v>
      </c>
    </row>
    <row r="40" spans="1:7" s="64" customFormat="1" ht="14" customHeight="1" x14ac:dyDescent="0.2">
      <c r="A40" s="265"/>
      <c r="B40" s="187" t="s">
        <v>311</v>
      </c>
      <c r="C40" s="278">
        <f>C39+C16</f>
        <v>1480</v>
      </c>
      <c r="D40" s="278">
        <f t="shared" ref="D40:G40" si="2">D39+D16</f>
        <v>1687</v>
      </c>
      <c r="E40" s="278">
        <f t="shared" si="2"/>
        <v>2232</v>
      </c>
      <c r="F40" s="138">
        <f>CustomerList[[#This Row],[URBAN]]+CustomerList[[#This Row],[SEMI URBAN]]+CustomerList[[#This Row],[RURAL]]</f>
        <v>5399</v>
      </c>
      <c r="G40" s="278">
        <f t="shared" si="2"/>
        <v>9146</v>
      </c>
    </row>
    <row r="41" spans="1:7" ht="14" customHeight="1" x14ac:dyDescent="0.2">
      <c r="A41" s="141">
        <v>35</v>
      </c>
      <c r="B41" s="276" t="s">
        <v>193</v>
      </c>
      <c r="C41" s="276">
        <v>316</v>
      </c>
      <c r="D41" s="276">
        <v>90</v>
      </c>
      <c r="E41" s="276">
        <v>48</v>
      </c>
      <c r="F41" s="1">
        <f>CustomerList[[#This Row],[URBAN]]+CustomerList[[#This Row],[SEMI URBAN]]+CustomerList[[#This Row],[RURAL]]</f>
        <v>454</v>
      </c>
      <c r="G41" s="277">
        <v>0</v>
      </c>
    </row>
    <row r="42" spans="1:7" ht="14" customHeight="1" x14ac:dyDescent="0.2">
      <c r="A42" s="275">
        <v>36</v>
      </c>
      <c r="B42" s="276" t="s">
        <v>382</v>
      </c>
      <c r="C42" s="276">
        <v>538</v>
      </c>
      <c r="D42" s="276">
        <v>228</v>
      </c>
      <c r="E42" s="276">
        <v>100</v>
      </c>
      <c r="F42" s="1">
        <f>CustomerList[[#This Row],[URBAN]]+CustomerList[[#This Row],[SEMI URBAN]]+CustomerList[[#This Row],[RURAL]]</f>
        <v>866</v>
      </c>
      <c r="G42" s="277">
        <v>0</v>
      </c>
    </row>
    <row r="43" spans="1:7" s="64" customFormat="1" ht="14" customHeight="1" x14ac:dyDescent="0.2">
      <c r="A43" s="265"/>
      <c r="B43" s="278" t="s">
        <v>216</v>
      </c>
      <c r="C43" s="278">
        <f>C41+C42</f>
        <v>854</v>
      </c>
      <c r="D43" s="278">
        <f t="shared" ref="D43:G43" si="3">D41+D42</f>
        <v>318</v>
      </c>
      <c r="E43" s="278">
        <f t="shared" si="3"/>
        <v>148</v>
      </c>
      <c r="F43" s="138">
        <f>CustomerList[[#This Row],[URBAN]]+CustomerList[[#This Row],[SEMI URBAN]]+CustomerList[[#This Row],[RURAL]]</f>
        <v>1320</v>
      </c>
      <c r="G43" s="278">
        <f t="shared" si="3"/>
        <v>0</v>
      </c>
    </row>
    <row r="44" spans="1:7" ht="14" customHeight="1" x14ac:dyDescent="0.2">
      <c r="A44" s="275">
        <v>37</v>
      </c>
      <c r="B44" s="276" t="s">
        <v>312</v>
      </c>
      <c r="C44" s="276">
        <v>297</v>
      </c>
      <c r="D44" s="276">
        <v>470</v>
      </c>
      <c r="E44" s="276">
        <v>110</v>
      </c>
      <c r="F44" s="1">
        <f>CustomerList[[#This Row],[URBAN]]+CustomerList[[#This Row],[SEMI URBAN]]+CustomerList[[#This Row],[RURAL]]</f>
        <v>877</v>
      </c>
      <c r="G44" s="277">
        <v>24</v>
      </c>
    </row>
    <row r="45" spans="1:7" s="64" customFormat="1" ht="14" customHeight="1" x14ac:dyDescent="0.2">
      <c r="A45" s="279"/>
      <c r="B45" s="278" t="s">
        <v>214</v>
      </c>
      <c r="C45" s="278">
        <f>C44</f>
        <v>297</v>
      </c>
      <c r="D45" s="278">
        <f t="shared" ref="D45:G45" si="4">D44</f>
        <v>470</v>
      </c>
      <c r="E45" s="278">
        <f t="shared" si="4"/>
        <v>110</v>
      </c>
      <c r="F45" s="138">
        <f>CustomerList[[#This Row],[URBAN]]+CustomerList[[#This Row],[SEMI URBAN]]+CustomerList[[#This Row],[RURAL]]</f>
        <v>877</v>
      </c>
      <c r="G45" s="278">
        <f t="shared" si="4"/>
        <v>24</v>
      </c>
    </row>
    <row r="46" spans="1:7" s="64" customFormat="1" ht="14" customHeight="1" x14ac:dyDescent="0.2">
      <c r="A46" s="275">
        <v>38</v>
      </c>
      <c r="B46" s="276" t="s">
        <v>304</v>
      </c>
      <c r="C46" s="276">
        <v>6</v>
      </c>
      <c r="D46" s="276">
        <v>29</v>
      </c>
      <c r="E46" s="276">
        <v>37</v>
      </c>
      <c r="F46" s="1">
        <f>CustomerList[[#This Row],[URBAN]]+CustomerList[[#This Row],[SEMI URBAN]]+CustomerList[[#This Row],[RURAL]]</f>
        <v>72</v>
      </c>
      <c r="G46" s="276">
        <v>40</v>
      </c>
    </row>
    <row r="47" spans="1:7" ht="14" customHeight="1" x14ac:dyDescent="0.2">
      <c r="A47" s="275">
        <v>39</v>
      </c>
      <c r="B47" s="276" t="s">
        <v>305</v>
      </c>
      <c r="C47" s="276">
        <v>5</v>
      </c>
      <c r="D47" s="276">
        <v>13</v>
      </c>
      <c r="E47" s="276">
        <v>35</v>
      </c>
      <c r="F47" s="1">
        <f>CustomerList[[#This Row],[URBAN]]+CustomerList[[#This Row],[SEMI URBAN]]+CustomerList[[#This Row],[RURAL]]</f>
        <v>53</v>
      </c>
      <c r="G47" s="277">
        <v>20</v>
      </c>
    </row>
    <row r="48" spans="1:7" ht="14" customHeight="1" x14ac:dyDescent="0.2">
      <c r="A48" s="141">
        <v>40</v>
      </c>
      <c r="B48" s="276" t="s">
        <v>383</v>
      </c>
      <c r="C48" s="276">
        <v>1</v>
      </c>
      <c r="D48" s="276">
        <v>25</v>
      </c>
      <c r="E48" s="276">
        <v>14</v>
      </c>
      <c r="F48" s="1">
        <f>CustomerList[[#This Row],[URBAN]]+CustomerList[[#This Row],[SEMI URBAN]]+CustomerList[[#This Row],[RURAL]]</f>
        <v>40</v>
      </c>
      <c r="G48" s="277">
        <v>15</v>
      </c>
    </row>
    <row r="49" spans="1:7" s="64" customFormat="1" ht="14" customHeight="1" x14ac:dyDescent="0.2">
      <c r="A49" s="275">
        <v>41</v>
      </c>
      <c r="B49" s="276" t="s">
        <v>306</v>
      </c>
      <c r="C49" s="276">
        <v>5</v>
      </c>
      <c r="D49" s="276">
        <v>41</v>
      </c>
      <c r="E49" s="276">
        <v>21</v>
      </c>
      <c r="F49" s="1">
        <f>CustomerList[[#This Row],[URBAN]]+CustomerList[[#This Row],[SEMI URBAN]]+CustomerList[[#This Row],[RURAL]]</f>
        <v>67</v>
      </c>
      <c r="G49" s="276">
        <v>5</v>
      </c>
    </row>
    <row r="50" spans="1:7" ht="14" customHeight="1" x14ac:dyDescent="0.2">
      <c r="A50" s="275">
        <v>42</v>
      </c>
      <c r="B50" s="276" t="s">
        <v>307</v>
      </c>
      <c r="C50" s="276">
        <v>42</v>
      </c>
      <c r="D50" s="276">
        <v>5</v>
      </c>
      <c r="E50" s="276">
        <v>26</v>
      </c>
      <c r="F50" s="1">
        <f>CustomerList[[#This Row],[URBAN]]+CustomerList[[#This Row],[SEMI URBAN]]+CustomerList[[#This Row],[RURAL]]</f>
        <v>73</v>
      </c>
      <c r="G50" s="277">
        <v>11</v>
      </c>
    </row>
    <row r="51" spans="1:7" s="64" customFormat="1" ht="14" customHeight="1" x14ac:dyDescent="0.2">
      <c r="A51" s="141">
        <v>43</v>
      </c>
      <c r="B51" s="276" t="s">
        <v>308</v>
      </c>
      <c r="C51" s="276">
        <v>6</v>
      </c>
      <c r="D51" s="276">
        <v>7</v>
      </c>
      <c r="E51" s="276">
        <v>21</v>
      </c>
      <c r="F51" s="1">
        <f>CustomerList[[#This Row],[URBAN]]+CustomerList[[#This Row],[SEMI URBAN]]+CustomerList[[#This Row],[RURAL]]</f>
        <v>34</v>
      </c>
      <c r="G51" s="276">
        <v>1</v>
      </c>
    </row>
    <row r="52" spans="1:7" s="64" customFormat="1" ht="14" customHeight="1" x14ac:dyDescent="0.2">
      <c r="A52" s="275">
        <v>44</v>
      </c>
      <c r="B52" s="276" t="s">
        <v>300</v>
      </c>
      <c r="C52" s="276">
        <v>1</v>
      </c>
      <c r="D52" s="276">
        <v>4</v>
      </c>
      <c r="E52" s="276">
        <v>6</v>
      </c>
      <c r="F52" s="1">
        <f>CustomerList[[#This Row],[URBAN]]+CustomerList[[#This Row],[SEMI URBAN]]+CustomerList[[#This Row],[RURAL]]</f>
        <v>11</v>
      </c>
      <c r="G52" s="276">
        <v>11</v>
      </c>
    </row>
    <row r="53" spans="1:7" ht="14" customHeight="1" x14ac:dyDescent="0.2">
      <c r="A53" s="275">
        <v>45</v>
      </c>
      <c r="B53" s="276" t="s">
        <v>309</v>
      </c>
      <c r="C53" s="276">
        <v>14</v>
      </c>
      <c r="D53" s="276">
        <v>2</v>
      </c>
      <c r="E53" s="276">
        <v>19</v>
      </c>
      <c r="F53" s="1">
        <f>CustomerList[[#This Row],[URBAN]]+CustomerList[[#This Row],[SEMI URBAN]]+CustomerList[[#This Row],[RURAL]]</f>
        <v>35</v>
      </c>
      <c r="G53" s="277">
        <v>9</v>
      </c>
    </row>
    <row r="54" spans="1:7" s="64" customFormat="1" ht="14" customHeight="1" x14ac:dyDescent="0.2">
      <c r="A54" s="279"/>
      <c r="B54" s="278" t="s">
        <v>310</v>
      </c>
      <c r="C54" s="278">
        <f>SUBTOTAL(109,C46:C53)</f>
        <v>80</v>
      </c>
      <c r="D54" s="278">
        <f t="shared" ref="D54:G54" si="5">SUBTOTAL(109,D46:D53)</f>
        <v>126</v>
      </c>
      <c r="E54" s="278">
        <f t="shared" si="5"/>
        <v>179</v>
      </c>
      <c r="F54" s="138">
        <f>CustomerList[[#This Row],[URBAN]]+CustomerList[[#This Row],[SEMI URBAN]]+CustomerList[[#This Row],[RURAL]]</f>
        <v>385</v>
      </c>
      <c r="G54" s="278">
        <f t="shared" si="5"/>
        <v>112</v>
      </c>
    </row>
    <row r="55" spans="1:7" s="64" customFormat="1" ht="14" customHeight="1" x14ac:dyDescent="0.2">
      <c r="A55" s="275">
        <v>46</v>
      </c>
      <c r="B55" s="276" t="s">
        <v>385</v>
      </c>
      <c r="C55" s="276">
        <v>0</v>
      </c>
      <c r="D55" s="276">
        <v>0</v>
      </c>
      <c r="E55" s="276">
        <v>42</v>
      </c>
      <c r="F55" s="1">
        <f>CustomerList[[#This Row],[URBAN]]+CustomerList[[#This Row],[SEMI URBAN]]+CustomerList[[#This Row],[RURAL]]</f>
        <v>42</v>
      </c>
      <c r="G55" s="277">
        <v>0</v>
      </c>
    </row>
    <row r="56" spans="1:7" s="64" customFormat="1" ht="14" customHeight="1" x14ac:dyDescent="0.2">
      <c r="A56" s="279"/>
      <c r="B56" s="278" t="s">
        <v>386</v>
      </c>
      <c r="C56" s="278">
        <f>C55</f>
        <v>0</v>
      </c>
      <c r="D56" s="278">
        <f t="shared" ref="D56:G56" si="6">D55</f>
        <v>0</v>
      </c>
      <c r="E56" s="278">
        <f t="shared" si="6"/>
        <v>42</v>
      </c>
      <c r="F56" s="138">
        <f>CustomerList[[#This Row],[URBAN]]+CustomerList[[#This Row],[SEMI URBAN]]+CustomerList[[#This Row],[RURAL]]</f>
        <v>42</v>
      </c>
      <c r="G56" s="278">
        <f t="shared" si="6"/>
        <v>0</v>
      </c>
    </row>
    <row r="57" spans="1:7" s="64" customFormat="1" ht="14" customHeight="1" x14ac:dyDescent="0.2">
      <c r="A57" s="279"/>
      <c r="B57" s="278" t="s">
        <v>0</v>
      </c>
      <c r="C57" s="278">
        <f>C56+C54+C45+C43+C40</f>
        <v>2711</v>
      </c>
      <c r="D57" s="278">
        <f t="shared" ref="D57:G57" si="7">D56+D54+D45+D43+D40</f>
        <v>2601</v>
      </c>
      <c r="E57" s="278">
        <f t="shared" si="7"/>
        <v>2711</v>
      </c>
      <c r="F57" s="138">
        <f>CustomerList[[#This Row],[URBAN]]+CustomerList[[#This Row],[SEMI URBAN]]+CustomerList[[#This Row],[RURAL]]</f>
        <v>8023</v>
      </c>
      <c r="G57" s="278">
        <f t="shared" si="7"/>
        <v>9282</v>
      </c>
    </row>
    <row r="58" spans="1:7" ht="15" customHeight="1" x14ac:dyDescent="0.2">
      <c r="A58" s="271"/>
      <c r="B58" s="272"/>
      <c r="C58" s="147"/>
      <c r="D58" s="272"/>
      <c r="E58" s="272" t="s">
        <v>1068</v>
      </c>
      <c r="F58" s="273"/>
      <c r="G58" s="274"/>
    </row>
    <row r="59" spans="1:7" ht="18.75" hidden="1" customHeight="1" x14ac:dyDescent="0.2">
      <c r="A59" s="271"/>
      <c r="B59" s="272"/>
      <c r="C59" s="147">
        <v>2720</v>
      </c>
      <c r="D59" s="147">
        <v>2367</v>
      </c>
      <c r="E59" s="147">
        <v>2429</v>
      </c>
      <c r="F59" s="147"/>
      <c r="G59" s="274">
        <v>9580</v>
      </c>
    </row>
    <row r="60" spans="1:7" ht="18.75" hidden="1" customHeight="1" x14ac:dyDescent="0.2"/>
    <row r="61" spans="1:7" ht="18.75" hidden="1" customHeight="1" x14ac:dyDescent="0.2">
      <c r="C61" s="134"/>
      <c r="D61" s="134"/>
      <c r="E61" s="134"/>
      <c r="F61" s="134" t="e">
        <f>#REF!-#REF!-F51</f>
        <v>#REF!</v>
      </c>
      <c r="G61" s="134" t="e">
        <f>#REF!-#REF!-G51</f>
        <v>#REF!</v>
      </c>
    </row>
    <row r="62" spans="1:7" ht="18.75" hidden="1" customHeight="1" x14ac:dyDescent="0.2">
      <c r="C62" s="134"/>
      <c r="D62" s="134" t="e">
        <f>#REF!+#REF!</f>
        <v>#REF!</v>
      </c>
      <c r="E62" s="134"/>
      <c r="G62" s="156"/>
    </row>
    <row r="64" spans="1:7" ht="18.75" customHeight="1" x14ac:dyDescent="0.2">
      <c r="C64" s="376"/>
      <c r="D64" s="376"/>
      <c r="E64" s="376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1:G1"/>
    <mergeCell ref="A2:G2"/>
  </mergeCells>
  <phoneticPr fontId="10" type="noConversion"/>
  <printOptions horizontalCentered="1"/>
  <pageMargins left="0.25" right="0.25" top="0.25" bottom="0.25" header="0.3" footer="0.3"/>
  <pageSetup scale="87" fitToHeight="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L58"/>
  <sheetViews>
    <sheetView zoomScale="112" zoomScaleNormal="90" workbookViewId="0">
      <pane xSplit="2" ySplit="5" topLeftCell="C35" activePane="bottomRight" state="frozen"/>
      <selection pane="topRight" activeCell="C1" sqref="C1"/>
      <selection pane="bottomLeft" activeCell="A6" sqref="A6"/>
      <selection pane="bottomRight" activeCell="F65" sqref="F65"/>
    </sheetView>
  </sheetViews>
  <sheetFormatPr baseColWidth="10" defaultColWidth="9.19921875" defaultRowHeight="14" x14ac:dyDescent="0.2"/>
  <cols>
    <col min="1" max="1" width="4.3984375" style="48" customWidth="1"/>
    <col min="2" max="2" width="35.59765625" style="48" bestFit="1" customWidth="1"/>
    <col min="3" max="4" width="11.796875" style="51" bestFit="1" customWidth="1"/>
    <col min="5" max="5" width="10.796875" style="51" customWidth="1"/>
    <col min="6" max="6" width="12" style="51" bestFit="1" customWidth="1"/>
    <col min="7" max="7" width="9.796875" style="51" customWidth="1"/>
    <col min="8" max="8" width="10.59765625" style="51" customWidth="1"/>
    <col min="9" max="9" width="10.796875" style="51" customWidth="1"/>
    <col min="10" max="10" width="10.59765625" style="51" customWidth="1"/>
    <col min="11" max="11" width="11.59765625" style="51" bestFit="1" customWidth="1"/>
    <col min="12" max="12" width="8.19921875" style="51" customWidth="1"/>
    <col min="13" max="16384" width="9.19921875" style="48"/>
  </cols>
  <sheetData>
    <row r="1" spans="1:12" ht="15" customHeight="1" x14ac:dyDescent="0.2">
      <c r="A1" s="423" t="s">
        <v>1049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</row>
    <row r="2" spans="1:12" ht="15" customHeight="1" x14ac:dyDescent="0.2">
      <c r="B2" s="49" t="s">
        <v>124</v>
      </c>
      <c r="C2" s="50"/>
      <c r="D2" s="50"/>
      <c r="I2" s="50" t="s">
        <v>153</v>
      </c>
    </row>
    <row r="3" spans="1:12" ht="15" customHeight="1" x14ac:dyDescent="0.2">
      <c r="A3" s="428" t="s">
        <v>110</v>
      </c>
      <c r="B3" s="420" t="s">
        <v>94</v>
      </c>
      <c r="C3" s="428" t="s">
        <v>37</v>
      </c>
      <c r="D3" s="428"/>
      <c r="E3" s="428"/>
      <c r="F3" s="428"/>
      <c r="G3" s="425" t="s">
        <v>148</v>
      </c>
      <c r="H3" s="424" t="s">
        <v>177</v>
      </c>
      <c r="I3" s="424"/>
      <c r="J3" s="424"/>
      <c r="K3" s="424"/>
      <c r="L3" s="425" t="s">
        <v>148</v>
      </c>
    </row>
    <row r="4" spans="1:12" ht="25" customHeight="1" x14ac:dyDescent="0.2">
      <c r="A4" s="428"/>
      <c r="B4" s="421"/>
      <c r="C4" s="424" t="s">
        <v>19</v>
      </c>
      <c r="D4" s="424"/>
      <c r="E4" s="424" t="s">
        <v>149</v>
      </c>
      <c r="F4" s="424"/>
      <c r="G4" s="426"/>
      <c r="H4" s="424" t="s">
        <v>19</v>
      </c>
      <c r="I4" s="424"/>
      <c r="J4" s="424" t="s">
        <v>149</v>
      </c>
      <c r="K4" s="424"/>
      <c r="L4" s="426"/>
    </row>
    <row r="5" spans="1:12" ht="15" customHeight="1" x14ac:dyDescent="0.2">
      <c r="A5" s="428"/>
      <c r="B5" s="422"/>
      <c r="C5" s="380" t="s">
        <v>114</v>
      </c>
      <c r="D5" s="380" t="s">
        <v>93</v>
      </c>
      <c r="E5" s="380" t="s">
        <v>114</v>
      </c>
      <c r="F5" s="380" t="s">
        <v>93</v>
      </c>
      <c r="G5" s="427"/>
      <c r="H5" s="380" t="s">
        <v>114</v>
      </c>
      <c r="I5" s="380" t="s">
        <v>93</v>
      </c>
      <c r="J5" s="380" t="s">
        <v>114</v>
      </c>
      <c r="K5" s="380" t="s">
        <v>93</v>
      </c>
      <c r="L5" s="427"/>
    </row>
    <row r="6" spans="1:12" ht="14" customHeight="1" x14ac:dyDescent="0.15">
      <c r="A6" s="210">
        <v>1</v>
      </c>
      <c r="B6" s="142" t="s">
        <v>51</v>
      </c>
      <c r="C6" s="224">
        <v>180089</v>
      </c>
      <c r="D6" s="224">
        <v>402078</v>
      </c>
      <c r="E6" s="224">
        <v>10524</v>
      </c>
      <c r="F6" s="224">
        <v>11214</v>
      </c>
      <c r="G6" s="303">
        <f>F6*100/D6</f>
        <v>2.7890110874009522</v>
      </c>
      <c r="H6" s="224">
        <v>139553</v>
      </c>
      <c r="I6" s="224">
        <v>263736</v>
      </c>
      <c r="J6" s="224">
        <v>9911</v>
      </c>
      <c r="K6" s="224">
        <v>9421</v>
      </c>
      <c r="L6" s="304">
        <f>K6*100/I6</f>
        <v>3.5721327387994055</v>
      </c>
    </row>
    <row r="7" spans="1:12" ht="14" customHeight="1" x14ac:dyDescent="0.15">
      <c r="A7" s="210">
        <v>2</v>
      </c>
      <c r="B7" s="142" t="s">
        <v>52</v>
      </c>
      <c r="C7" s="224">
        <v>444082</v>
      </c>
      <c r="D7" s="224">
        <v>957921</v>
      </c>
      <c r="E7" s="224">
        <v>168826</v>
      </c>
      <c r="F7" s="224">
        <v>283632</v>
      </c>
      <c r="G7" s="303">
        <f t="shared" ref="G7:G57" si="0">F7*100/D7</f>
        <v>29.609122255384317</v>
      </c>
      <c r="H7" s="224">
        <v>365094</v>
      </c>
      <c r="I7" s="224">
        <v>709064</v>
      </c>
      <c r="J7" s="224">
        <v>121049</v>
      </c>
      <c r="K7" s="224">
        <v>244884</v>
      </c>
      <c r="L7" s="304">
        <f t="shared" ref="L7:L57" si="1">K7*100/I7</f>
        <v>34.536233682714112</v>
      </c>
    </row>
    <row r="8" spans="1:12" ht="14" customHeight="1" x14ac:dyDescent="0.15">
      <c r="A8" s="210">
        <v>3</v>
      </c>
      <c r="B8" s="142" t="s">
        <v>53</v>
      </c>
      <c r="C8" s="224">
        <v>86543</v>
      </c>
      <c r="D8" s="224">
        <v>229791</v>
      </c>
      <c r="E8" s="224">
        <v>9672</v>
      </c>
      <c r="F8" s="224">
        <v>15270</v>
      </c>
      <c r="G8" s="303">
        <f t="shared" si="0"/>
        <v>6.6451688708435057</v>
      </c>
      <c r="H8" s="224">
        <v>62892</v>
      </c>
      <c r="I8" s="224">
        <v>143689</v>
      </c>
      <c r="J8" s="224">
        <v>9497</v>
      </c>
      <c r="K8" s="224">
        <v>14806</v>
      </c>
      <c r="L8" s="304">
        <f t="shared" si="1"/>
        <v>10.304198651253749</v>
      </c>
    </row>
    <row r="9" spans="1:12" ht="14" customHeight="1" x14ac:dyDescent="0.15">
      <c r="A9" s="210">
        <v>4</v>
      </c>
      <c r="B9" s="142" t="s">
        <v>54</v>
      </c>
      <c r="C9" s="224">
        <v>117951</v>
      </c>
      <c r="D9" s="224">
        <v>254348</v>
      </c>
      <c r="E9" s="224">
        <v>1723</v>
      </c>
      <c r="F9" s="224">
        <v>4284.1116199999997</v>
      </c>
      <c r="G9" s="303">
        <f t="shared" si="0"/>
        <v>1.6843504254014183</v>
      </c>
      <c r="H9" s="224">
        <v>89887</v>
      </c>
      <c r="I9" s="224">
        <v>166250</v>
      </c>
      <c r="J9" s="224">
        <v>688</v>
      </c>
      <c r="K9" s="224">
        <v>2913</v>
      </c>
      <c r="L9" s="304">
        <f t="shared" si="1"/>
        <v>1.7521804511278196</v>
      </c>
    </row>
    <row r="10" spans="1:12" ht="14" customHeight="1" x14ac:dyDescent="0.15">
      <c r="A10" s="210">
        <v>5</v>
      </c>
      <c r="B10" s="142" t="s">
        <v>55</v>
      </c>
      <c r="C10" s="224">
        <v>434339</v>
      </c>
      <c r="D10" s="224">
        <v>1120530</v>
      </c>
      <c r="E10" s="224">
        <v>108895</v>
      </c>
      <c r="F10" s="224">
        <v>168412</v>
      </c>
      <c r="G10" s="303">
        <f t="shared" si="0"/>
        <v>15.029673458095722</v>
      </c>
      <c r="H10" s="224">
        <v>324246</v>
      </c>
      <c r="I10" s="224">
        <v>694565</v>
      </c>
      <c r="J10" s="224">
        <v>108167</v>
      </c>
      <c r="K10" s="224">
        <v>126653</v>
      </c>
      <c r="L10" s="304">
        <f t="shared" si="1"/>
        <v>18.234866427188241</v>
      </c>
    </row>
    <row r="11" spans="1:12" ht="14" customHeight="1" x14ac:dyDescent="0.15">
      <c r="A11" s="210">
        <v>6</v>
      </c>
      <c r="B11" s="142" t="s">
        <v>56</v>
      </c>
      <c r="C11" s="224">
        <v>128831</v>
      </c>
      <c r="D11" s="224">
        <v>276167</v>
      </c>
      <c r="E11" s="224">
        <v>2806</v>
      </c>
      <c r="F11" s="224">
        <v>4015</v>
      </c>
      <c r="G11" s="303">
        <f t="shared" si="0"/>
        <v>1.4538304721418562</v>
      </c>
      <c r="H11" s="224">
        <v>95560</v>
      </c>
      <c r="I11" s="224">
        <v>167368</v>
      </c>
      <c r="J11" s="224">
        <v>1822</v>
      </c>
      <c r="K11" s="224">
        <v>2540</v>
      </c>
      <c r="L11" s="304">
        <f t="shared" si="1"/>
        <v>1.5176138807896371</v>
      </c>
    </row>
    <row r="12" spans="1:12" ht="14" customHeight="1" x14ac:dyDescent="0.15">
      <c r="A12" s="210">
        <v>7</v>
      </c>
      <c r="B12" s="142" t="s">
        <v>57</v>
      </c>
      <c r="C12" s="224">
        <v>15864</v>
      </c>
      <c r="D12" s="224">
        <v>34342</v>
      </c>
      <c r="E12" s="224">
        <v>962</v>
      </c>
      <c r="F12" s="224">
        <v>1520</v>
      </c>
      <c r="G12" s="303">
        <f t="shared" si="0"/>
        <v>4.4260672063362643</v>
      </c>
      <c r="H12" s="224">
        <v>11028</v>
      </c>
      <c r="I12" s="224">
        <v>20317</v>
      </c>
      <c r="J12" s="224">
        <v>779</v>
      </c>
      <c r="K12" s="224">
        <v>1020</v>
      </c>
      <c r="L12" s="304">
        <f t="shared" si="1"/>
        <v>5.020426244032091</v>
      </c>
    </row>
    <row r="13" spans="1:12" ht="14" customHeight="1" x14ac:dyDescent="0.15">
      <c r="A13" s="210">
        <v>8</v>
      </c>
      <c r="B13" s="142" t="s">
        <v>178</v>
      </c>
      <c r="C13" s="224">
        <v>15924</v>
      </c>
      <c r="D13" s="224">
        <v>32947</v>
      </c>
      <c r="E13" s="224">
        <v>55</v>
      </c>
      <c r="F13" s="224">
        <v>97</v>
      </c>
      <c r="G13" s="303">
        <f t="shared" si="0"/>
        <v>0.29441223783652531</v>
      </c>
      <c r="H13" s="224">
        <v>12061</v>
      </c>
      <c r="I13" s="224">
        <v>20621</v>
      </c>
      <c r="J13" s="224">
        <v>47</v>
      </c>
      <c r="K13" s="224">
        <v>82</v>
      </c>
      <c r="L13" s="304">
        <f t="shared" si="1"/>
        <v>0.39765287813394112</v>
      </c>
    </row>
    <row r="14" spans="1:12" ht="14" customHeight="1" x14ac:dyDescent="0.15">
      <c r="A14" s="210">
        <v>9</v>
      </c>
      <c r="B14" s="142" t="s">
        <v>58</v>
      </c>
      <c r="C14" s="224">
        <v>257142</v>
      </c>
      <c r="D14" s="224">
        <v>584350</v>
      </c>
      <c r="E14" s="224">
        <v>27208</v>
      </c>
      <c r="F14" s="224">
        <v>58088.34</v>
      </c>
      <c r="G14" s="303">
        <f t="shared" si="0"/>
        <v>9.9406759647471556</v>
      </c>
      <c r="H14" s="224">
        <v>201379</v>
      </c>
      <c r="I14" s="224">
        <v>400399</v>
      </c>
      <c r="J14" s="224">
        <v>26868</v>
      </c>
      <c r="K14" s="224">
        <v>57544.92</v>
      </c>
      <c r="L14" s="304">
        <f t="shared" si="1"/>
        <v>14.371894035699389</v>
      </c>
    </row>
    <row r="15" spans="1:12" ht="14" customHeight="1" x14ac:dyDescent="0.15">
      <c r="A15" s="210">
        <v>10</v>
      </c>
      <c r="B15" s="142" t="s">
        <v>64</v>
      </c>
      <c r="C15" s="224">
        <v>1254258</v>
      </c>
      <c r="D15" s="224">
        <v>2956644</v>
      </c>
      <c r="E15" s="224">
        <v>146098</v>
      </c>
      <c r="F15" s="224">
        <v>294638</v>
      </c>
      <c r="G15" s="303">
        <f t="shared" si="0"/>
        <v>9.9652849649805653</v>
      </c>
      <c r="H15" s="224">
        <v>999455</v>
      </c>
      <c r="I15" s="224">
        <v>2054564</v>
      </c>
      <c r="J15" s="224">
        <v>144503</v>
      </c>
      <c r="K15" s="224">
        <v>291148</v>
      </c>
      <c r="L15" s="304">
        <f t="shared" si="1"/>
        <v>14.170792440634607</v>
      </c>
    </row>
    <row r="16" spans="1:12" ht="14" customHeight="1" x14ac:dyDescent="0.15">
      <c r="A16" s="210">
        <v>11</v>
      </c>
      <c r="B16" s="142" t="s">
        <v>179</v>
      </c>
      <c r="C16" s="224">
        <v>99291</v>
      </c>
      <c r="D16" s="224">
        <v>274004</v>
      </c>
      <c r="E16" s="224">
        <v>849</v>
      </c>
      <c r="F16" s="224">
        <v>1981</v>
      </c>
      <c r="G16" s="303">
        <f t="shared" si="0"/>
        <v>0.72298214624604018</v>
      </c>
      <c r="H16" s="224">
        <v>72175</v>
      </c>
      <c r="I16" s="224">
        <v>145339</v>
      </c>
      <c r="J16" s="224">
        <v>701</v>
      </c>
      <c r="K16" s="224">
        <v>1604</v>
      </c>
      <c r="L16" s="304">
        <f t="shared" si="1"/>
        <v>1.1036266934546131</v>
      </c>
    </row>
    <row r="17" spans="1:12" ht="14" customHeight="1" x14ac:dyDescent="0.15">
      <c r="A17" s="210">
        <v>12</v>
      </c>
      <c r="B17" s="142" t="s">
        <v>60</v>
      </c>
      <c r="C17" s="224">
        <v>237295</v>
      </c>
      <c r="D17" s="224">
        <v>499952</v>
      </c>
      <c r="E17" s="224">
        <v>36582</v>
      </c>
      <c r="F17" s="224">
        <v>85110</v>
      </c>
      <c r="G17" s="303">
        <f t="shared" si="0"/>
        <v>17.023634268889815</v>
      </c>
      <c r="H17" s="224">
        <v>190850</v>
      </c>
      <c r="I17" s="224">
        <v>337329</v>
      </c>
      <c r="J17" s="224">
        <v>34907</v>
      </c>
      <c r="K17" s="224">
        <v>75785</v>
      </c>
      <c r="L17" s="304">
        <f t="shared" si="1"/>
        <v>22.466197688310224</v>
      </c>
    </row>
    <row r="18" spans="1:12" s="49" customFormat="1" ht="14" customHeight="1" x14ac:dyDescent="0.15">
      <c r="A18" s="377"/>
      <c r="B18" s="139" t="s">
        <v>215</v>
      </c>
      <c r="C18" s="285">
        <f>SUM(C6:C17)</f>
        <v>3271609</v>
      </c>
      <c r="D18" s="285">
        <f t="shared" ref="D18:K18" si="2">SUM(D6:D17)</f>
        <v>7623074</v>
      </c>
      <c r="E18" s="285">
        <f t="shared" si="2"/>
        <v>514200</v>
      </c>
      <c r="F18" s="285">
        <f t="shared" si="2"/>
        <v>928261.45161999995</v>
      </c>
      <c r="G18" s="308">
        <f t="shared" si="0"/>
        <v>12.176996466517313</v>
      </c>
      <c r="H18" s="285">
        <f t="shared" si="2"/>
        <v>2564180</v>
      </c>
      <c r="I18" s="285">
        <f t="shared" si="2"/>
        <v>5123241</v>
      </c>
      <c r="J18" s="285">
        <f t="shared" si="2"/>
        <v>458939</v>
      </c>
      <c r="K18" s="285">
        <f t="shared" si="2"/>
        <v>828400.91999999993</v>
      </c>
      <c r="L18" s="309">
        <f t="shared" si="1"/>
        <v>16.16947006787305</v>
      </c>
    </row>
    <row r="19" spans="1:12" ht="14" customHeight="1" x14ac:dyDescent="0.15">
      <c r="A19" s="210">
        <v>13</v>
      </c>
      <c r="B19" s="142" t="s">
        <v>41</v>
      </c>
      <c r="C19" s="224">
        <v>73445</v>
      </c>
      <c r="D19" s="224">
        <v>187586</v>
      </c>
      <c r="E19" s="224">
        <v>6826</v>
      </c>
      <c r="F19" s="224">
        <v>18943.990000000002</v>
      </c>
      <c r="G19" s="303">
        <f t="shared" si="0"/>
        <v>10.098829336944123</v>
      </c>
      <c r="H19" s="224">
        <v>58359</v>
      </c>
      <c r="I19" s="224">
        <v>133406</v>
      </c>
      <c r="J19" s="224">
        <v>7031</v>
      </c>
      <c r="K19" s="224">
        <v>82366.399999999994</v>
      </c>
      <c r="L19" s="304">
        <f t="shared" si="1"/>
        <v>61.741151072665389</v>
      </c>
    </row>
    <row r="20" spans="1:12" ht="14" customHeight="1" x14ac:dyDescent="0.15">
      <c r="A20" s="210">
        <v>14</v>
      </c>
      <c r="B20" s="142" t="s">
        <v>180</v>
      </c>
      <c r="C20" s="224">
        <v>28939</v>
      </c>
      <c r="D20" s="224">
        <v>66631</v>
      </c>
      <c r="E20" s="224">
        <v>17740</v>
      </c>
      <c r="F20" s="224">
        <v>11045.93</v>
      </c>
      <c r="G20" s="303">
        <f t="shared" si="0"/>
        <v>16.577764103795531</v>
      </c>
      <c r="H20" s="224">
        <v>25418</v>
      </c>
      <c r="I20" s="224">
        <v>54986</v>
      </c>
      <c r="J20" s="224">
        <v>4616</v>
      </c>
      <c r="K20" s="224">
        <v>2535.8000000000002</v>
      </c>
      <c r="L20" s="304">
        <f t="shared" si="1"/>
        <v>4.6117193467428077</v>
      </c>
    </row>
    <row r="21" spans="1:12" ht="14" customHeight="1" x14ac:dyDescent="0.15">
      <c r="A21" s="210">
        <v>15</v>
      </c>
      <c r="B21" s="142" t="s">
        <v>181</v>
      </c>
      <c r="C21" s="224">
        <v>158</v>
      </c>
      <c r="D21" s="224">
        <v>215</v>
      </c>
      <c r="E21" s="224">
        <v>24</v>
      </c>
      <c r="F21" s="224">
        <v>56</v>
      </c>
      <c r="G21" s="303">
        <f t="shared" si="0"/>
        <v>26.046511627906977</v>
      </c>
      <c r="H21" s="224">
        <v>114</v>
      </c>
      <c r="I21" s="224">
        <v>186</v>
      </c>
      <c r="J21" s="224">
        <v>24</v>
      </c>
      <c r="K21" s="224">
        <v>56</v>
      </c>
      <c r="L21" s="304">
        <f t="shared" si="1"/>
        <v>30.107526881720432</v>
      </c>
    </row>
    <row r="22" spans="1:12" ht="14" customHeight="1" x14ac:dyDescent="0.15">
      <c r="A22" s="210">
        <v>16</v>
      </c>
      <c r="B22" s="142" t="s">
        <v>45</v>
      </c>
      <c r="C22" s="224">
        <v>448</v>
      </c>
      <c r="D22" s="224">
        <v>948</v>
      </c>
      <c r="E22" s="224">
        <v>3</v>
      </c>
      <c r="F22" s="224">
        <v>6</v>
      </c>
      <c r="G22" s="303">
        <f t="shared" si="0"/>
        <v>0.63291139240506333</v>
      </c>
      <c r="H22" s="224">
        <v>254</v>
      </c>
      <c r="I22" s="224">
        <v>633</v>
      </c>
      <c r="J22" s="224">
        <v>0</v>
      </c>
      <c r="K22" s="224">
        <v>0</v>
      </c>
      <c r="L22" s="304">
        <f t="shared" si="1"/>
        <v>0</v>
      </c>
    </row>
    <row r="23" spans="1:12" ht="14" customHeight="1" x14ac:dyDescent="0.15">
      <c r="A23" s="210">
        <v>17</v>
      </c>
      <c r="B23" s="142" t="s">
        <v>182</v>
      </c>
      <c r="C23" s="224">
        <v>10083</v>
      </c>
      <c r="D23" s="224">
        <v>22940</v>
      </c>
      <c r="E23" s="224">
        <v>5745</v>
      </c>
      <c r="F23" s="224">
        <v>10244</v>
      </c>
      <c r="G23" s="303">
        <f t="shared" si="0"/>
        <v>44.655623365300784</v>
      </c>
      <c r="H23" s="224">
        <v>6917</v>
      </c>
      <c r="I23" s="224">
        <v>13875</v>
      </c>
      <c r="J23" s="224">
        <v>4847</v>
      </c>
      <c r="K23" s="224">
        <v>7804</v>
      </c>
      <c r="L23" s="304">
        <f t="shared" si="1"/>
        <v>56.245045045045046</v>
      </c>
    </row>
    <row r="24" spans="1:12" ht="14" customHeight="1" x14ac:dyDescent="0.15">
      <c r="A24" s="210">
        <v>18</v>
      </c>
      <c r="B24" s="142" t="s">
        <v>183</v>
      </c>
      <c r="C24" s="224">
        <v>38</v>
      </c>
      <c r="D24" s="224">
        <v>80</v>
      </c>
      <c r="E24" s="224">
        <v>0</v>
      </c>
      <c r="F24" s="224">
        <v>0</v>
      </c>
      <c r="G24" s="303">
        <f t="shared" si="0"/>
        <v>0</v>
      </c>
      <c r="H24" s="224">
        <v>0</v>
      </c>
      <c r="I24" s="224">
        <v>0</v>
      </c>
      <c r="J24" s="224">
        <v>0</v>
      </c>
      <c r="K24" s="224">
        <v>0</v>
      </c>
      <c r="L24" s="304">
        <v>0</v>
      </c>
    </row>
    <row r="25" spans="1:12" ht="14" customHeight="1" x14ac:dyDescent="0.15">
      <c r="A25" s="210">
        <v>19</v>
      </c>
      <c r="B25" s="142" t="s">
        <v>184</v>
      </c>
      <c r="C25" s="224">
        <v>2800</v>
      </c>
      <c r="D25" s="224">
        <v>5843</v>
      </c>
      <c r="E25" s="224">
        <v>8399</v>
      </c>
      <c r="F25" s="224">
        <v>14681</v>
      </c>
      <c r="G25" s="303">
        <f t="shared" si="0"/>
        <v>251.25791545438986</v>
      </c>
      <c r="H25" s="224">
        <v>1594</v>
      </c>
      <c r="I25" s="224">
        <v>3124</v>
      </c>
      <c r="J25" s="224">
        <v>8232</v>
      </c>
      <c r="K25" s="224">
        <v>14083</v>
      </c>
      <c r="L25" s="304">
        <f t="shared" si="1"/>
        <v>450.8002560819462</v>
      </c>
    </row>
    <row r="26" spans="1:12" ht="14" customHeight="1" x14ac:dyDescent="0.15">
      <c r="A26" s="210">
        <v>20</v>
      </c>
      <c r="B26" s="142" t="s">
        <v>65</v>
      </c>
      <c r="C26" s="224">
        <v>133957</v>
      </c>
      <c r="D26" s="224">
        <v>289699</v>
      </c>
      <c r="E26" s="224">
        <v>16493</v>
      </c>
      <c r="F26" s="224">
        <v>62139.85</v>
      </c>
      <c r="G26" s="303">
        <f t="shared" si="0"/>
        <v>21.44979789367585</v>
      </c>
      <c r="H26" s="224">
        <v>100490</v>
      </c>
      <c r="I26" s="224">
        <v>190287</v>
      </c>
      <c r="J26" s="224">
        <v>11721</v>
      </c>
      <c r="K26" s="224">
        <v>46216.63</v>
      </c>
      <c r="L26" s="304">
        <f t="shared" si="1"/>
        <v>24.287854661642676</v>
      </c>
    </row>
    <row r="27" spans="1:12" ht="14" customHeight="1" x14ac:dyDescent="0.15">
      <c r="A27" s="210">
        <v>21</v>
      </c>
      <c r="B27" s="142" t="s">
        <v>66</v>
      </c>
      <c r="C27" s="224">
        <v>129814</v>
      </c>
      <c r="D27" s="224">
        <v>302120</v>
      </c>
      <c r="E27" s="224">
        <v>52091</v>
      </c>
      <c r="F27" s="224">
        <v>98400</v>
      </c>
      <c r="G27" s="303">
        <f t="shared" si="0"/>
        <v>32.56983979875546</v>
      </c>
      <c r="H27" s="224">
        <v>98581</v>
      </c>
      <c r="I27" s="224">
        <v>200165</v>
      </c>
      <c r="J27" s="224">
        <v>29268</v>
      </c>
      <c r="K27" s="224">
        <v>60748</v>
      </c>
      <c r="L27" s="304">
        <f t="shared" si="1"/>
        <v>30.348962106262334</v>
      </c>
    </row>
    <row r="28" spans="1:12" ht="14" customHeight="1" x14ac:dyDescent="0.15">
      <c r="A28" s="210">
        <v>22</v>
      </c>
      <c r="B28" s="142" t="s">
        <v>75</v>
      </c>
      <c r="C28" s="224">
        <v>37510</v>
      </c>
      <c r="D28" s="224">
        <v>77137</v>
      </c>
      <c r="E28" s="224">
        <v>25567</v>
      </c>
      <c r="F28" s="224">
        <v>59613</v>
      </c>
      <c r="G28" s="303">
        <f t="shared" si="0"/>
        <v>77.281978816910168</v>
      </c>
      <c r="H28" s="224">
        <v>27060</v>
      </c>
      <c r="I28" s="224">
        <v>48288</v>
      </c>
      <c r="J28" s="224">
        <v>23155</v>
      </c>
      <c r="K28" s="224">
        <v>51557</v>
      </c>
      <c r="L28" s="304">
        <f t="shared" si="1"/>
        <v>106.76979787939032</v>
      </c>
    </row>
    <row r="29" spans="1:12" ht="14" customHeight="1" x14ac:dyDescent="0.15">
      <c r="A29" s="210">
        <v>23</v>
      </c>
      <c r="B29" s="142" t="s">
        <v>379</v>
      </c>
      <c r="C29" s="224">
        <v>8962</v>
      </c>
      <c r="D29" s="224">
        <v>18952</v>
      </c>
      <c r="E29" s="224">
        <v>5633</v>
      </c>
      <c r="F29" s="224">
        <v>6526</v>
      </c>
      <c r="G29" s="303">
        <f t="shared" si="0"/>
        <v>34.434360489658083</v>
      </c>
      <c r="H29" s="224">
        <v>6149</v>
      </c>
      <c r="I29" s="224">
        <v>11930</v>
      </c>
      <c r="J29" s="224">
        <v>1971</v>
      </c>
      <c r="K29" s="224">
        <v>4445.8999999999996</v>
      </c>
      <c r="L29" s="304">
        <f t="shared" si="1"/>
        <v>37.266554903604352</v>
      </c>
    </row>
    <row r="30" spans="1:12" ht="14" customHeight="1" x14ac:dyDescent="0.15">
      <c r="A30" s="210">
        <v>24</v>
      </c>
      <c r="B30" s="142" t="s">
        <v>185</v>
      </c>
      <c r="C30" s="224">
        <v>11836</v>
      </c>
      <c r="D30" s="224">
        <v>25643</v>
      </c>
      <c r="E30" s="224">
        <v>88309</v>
      </c>
      <c r="F30" s="224">
        <v>74100</v>
      </c>
      <c r="G30" s="303">
        <f t="shared" si="0"/>
        <v>288.96774948328977</v>
      </c>
      <c r="H30" s="224">
        <v>8284</v>
      </c>
      <c r="I30" s="224">
        <v>15464</v>
      </c>
      <c r="J30" s="224">
        <v>4599</v>
      </c>
      <c r="K30" s="224">
        <v>14090</v>
      </c>
      <c r="L30" s="304">
        <f t="shared" si="1"/>
        <v>91.114847387480594</v>
      </c>
    </row>
    <row r="31" spans="1:12" ht="14" customHeight="1" x14ac:dyDescent="0.15">
      <c r="A31" s="210">
        <v>25</v>
      </c>
      <c r="B31" s="142" t="s">
        <v>186</v>
      </c>
      <c r="C31" s="224">
        <v>36</v>
      </c>
      <c r="D31" s="224">
        <v>76</v>
      </c>
      <c r="E31" s="224">
        <v>0</v>
      </c>
      <c r="F31" s="224">
        <v>0</v>
      </c>
      <c r="G31" s="303">
        <f t="shared" si="0"/>
        <v>0</v>
      </c>
      <c r="H31" s="224">
        <v>0</v>
      </c>
      <c r="I31" s="224">
        <v>0</v>
      </c>
      <c r="J31" s="224">
        <v>0</v>
      </c>
      <c r="K31" s="224">
        <v>0</v>
      </c>
      <c r="L31" s="304">
        <v>0</v>
      </c>
    </row>
    <row r="32" spans="1:12" ht="14" customHeight="1" x14ac:dyDescent="0.15">
      <c r="A32" s="210">
        <v>26</v>
      </c>
      <c r="B32" s="142" t="s">
        <v>187</v>
      </c>
      <c r="C32" s="224">
        <v>656</v>
      </c>
      <c r="D32" s="224">
        <v>1551</v>
      </c>
      <c r="E32" s="224">
        <v>2360</v>
      </c>
      <c r="F32" s="224">
        <v>12313.9</v>
      </c>
      <c r="G32" s="303">
        <f t="shared" si="0"/>
        <v>793.93294648613801</v>
      </c>
      <c r="H32" s="224">
        <v>162</v>
      </c>
      <c r="I32" s="224">
        <v>425</v>
      </c>
      <c r="J32" s="224">
        <v>691</v>
      </c>
      <c r="K32" s="224">
        <v>4274.83</v>
      </c>
      <c r="L32" s="304">
        <f t="shared" si="1"/>
        <v>1005.8423529411765</v>
      </c>
    </row>
    <row r="33" spans="1:12" ht="14" customHeight="1" x14ac:dyDescent="0.15">
      <c r="A33" s="210">
        <v>27</v>
      </c>
      <c r="B33" s="142" t="s">
        <v>188</v>
      </c>
      <c r="C33" s="224">
        <v>139</v>
      </c>
      <c r="D33" s="224">
        <v>329</v>
      </c>
      <c r="E33" s="224">
        <v>98</v>
      </c>
      <c r="F33" s="224">
        <v>350.75</v>
      </c>
      <c r="G33" s="303">
        <f t="shared" si="0"/>
        <v>106.61094224924013</v>
      </c>
      <c r="H33" s="224">
        <v>23</v>
      </c>
      <c r="I33" s="224">
        <v>57</v>
      </c>
      <c r="J33" s="224">
        <v>0</v>
      </c>
      <c r="K33" s="224">
        <v>0</v>
      </c>
      <c r="L33" s="304">
        <f t="shared" si="1"/>
        <v>0</v>
      </c>
    </row>
    <row r="34" spans="1:12" ht="14" customHeight="1" x14ac:dyDescent="0.15">
      <c r="A34" s="210">
        <v>28</v>
      </c>
      <c r="B34" s="142" t="s">
        <v>67</v>
      </c>
      <c r="C34" s="224">
        <v>20775</v>
      </c>
      <c r="D34" s="224">
        <v>46559</v>
      </c>
      <c r="E34" s="224">
        <v>16073</v>
      </c>
      <c r="F34" s="224">
        <v>18397.150000000001</v>
      </c>
      <c r="G34" s="303">
        <f t="shared" si="0"/>
        <v>39.513627870014396</v>
      </c>
      <c r="H34" s="224">
        <v>9256</v>
      </c>
      <c r="I34" s="224">
        <v>17087</v>
      </c>
      <c r="J34" s="224">
        <v>16</v>
      </c>
      <c r="K34" s="224">
        <v>1111.1600000000001</v>
      </c>
      <c r="L34" s="304">
        <f t="shared" si="1"/>
        <v>6.5029554632176518</v>
      </c>
    </row>
    <row r="35" spans="1:12" ht="14" customHeight="1" x14ac:dyDescent="0.15">
      <c r="A35" s="210">
        <v>29</v>
      </c>
      <c r="B35" s="142" t="s">
        <v>189</v>
      </c>
      <c r="C35" s="224">
        <v>720</v>
      </c>
      <c r="D35" s="224">
        <v>1594</v>
      </c>
      <c r="E35" s="224">
        <v>0</v>
      </c>
      <c r="F35" s="224">
        <v>0</v>
      </c>
      <c r="G35" s="303">
        <f t="shared" si="0"/>
        <v>0</v>
      </c>
      <c r="H35" s="224">
        <v>602</v>
      </c>
      <c r="I35" s="224">
        <v>1174</v>
      </c>
      <c r="J35" s="224">
        <v>0</v>
      </c>
      <c r="K35" s="224">
        <v>0</v>
      </c>
      <c r="L35" s="304">
        <f t="shared" si="1"/>
        <v>0</v>
      </c>
    </row>
    <row r="36" spans="1:12" ht="14" customHeight="1" x14ac:dyDescent="0.15">
      <c r="A36" s="210">
        <v>30</v>
      </c>
      <c r="B36" s="142" t="s">
        <v>190</v>
      </c>
      <c r="C36" s="224">
        <v>7951</v>
      </c>
      <c r="D36" s="224">
        <v>17250</v>
      </c>
      <c r="E36" s="224">
        <v>11154</v>
      </c>
      <c r="F36" s="224">
        <v>7665</v>
      </c>
      <c r="G36" s="303">
        <f t="shared" si="0"/>
        <v>44.434782608695649</v>
      </c>
      <c r="H36" s="224">
        <v>5738</v>
      </c>
      <c r="I36" s="224">
        <v>11019</v>
      </c>
      <c r="J36" s="224">
        <v>996</v>
      </c>
      <c r="K36" s="224">
        <v>3252</v>
      </c>
      <c r="L36" s="304">
        <f t="shared" si="1"/>
        <v>29.512659950993736</v>
      </c>
    </row>
    <row r="37" spans="1:12" ht="14" customHeight="1" x14ac:dyDescent="0.15">
      <c r="A37" s="210">
        <v>31</v>
      </c>
      <c r="B37" s="142" t="s">
        <v>191</v>
      </c>
      <c r="C37" s="224">
        <v>465</v>
      </c>
      <c r="D37" s="224">
        <v>978</v>
      </c>
      <c r="E37" s="224">
        <v>0</v>
      </c>
      <c r="F37" s="224">
        <v>0</v>
      </c>
      <c r="G37" s="303">
        <f t="shared" si="0"/>
        <v>0</v>
      </c>
      <c r="H37" s="224">
        <v>230</v>
      </c>
      <c r="I37" s="224">
        <v>618</v>
      </c>
      <c r="J37" s="224">
        <v>0</v>
      </c>
      <c r="K37" s="224">
        <v>0</v>
      </c>
      <c r="L37" s="304">
        <f t="shared" si="1"/>
        <v>0</v>
      </c>
    </row>
    <row r="38" spans="1:12" ht="14" customHeight="1" x14ac:dyDescent="0.15">
      <c r="A38" s="210">
        <v>32</v>
      </c>
      <c r="B38" s="142" t="s">
        <v>71</v>
      </c>
      <c r="C38" s="224">
        <v>155</v>
      </c>
      <c r="D38" s="224">
        <v>698</v>
      </c>
      <c r="E38" s="224">
        <v>0</v>
      </c>
      <c r="F38" s="224">
        <v>0</v>
      </c>
      <c r="G38" s="303">
        <v>0</v>
      </c>
      <c r="H38" s="224">
        <v>145</v>
      </c>
      <c r="I38" s="224">
        <v>493</v>
      </c>
      <c r="J38" s="224">
        <v>0</v>
      </c>
      <c r="K38" s="224">
        <v>0</v>
      </c>
      <c r="L38" s="304">
        <v>0</v>
      </c>
    </row>
    <row r="39" spans="1:12" ht="14" customHeight="1" x14ac:dyDescent="0.15">
      <c r="A39" s="210">
        <v>33</v>
      </c>
      <c r="B39" s="142" t="s">
        <v>192</v>
      </c>
      <c r="C39" s="224">
        <v>656</v>
      </c>
      <c r="D39" s="224">
        <v>1640</v>
      </c>
      <c r="E39" s="224">
        <v>324</v>
      </c>
      <c r="F39" s="224">
        <v>503</v>
      </c>
      <c r="G39" s="303">
        <f t="shared" si="0"/>
        <v>30.670731707317074</v>
      </c>
      <c r="H39" s="224">
        <v>496</v>
      </c>
      <c r="I39" s="224">
        <v>1166</v>
      </c>
      <c r="J39" s="224">
        <v>324</v>
      </c>
      <c r="K39" s="224">
        <v>503</v>
      </c>
      <c r="L39" s="304">
        <f t="shared" si="1"/>
        <v>43.138936535162948</v>
      </c>
    </row>
    <row r="40" spans="1:12" ht="14" customHeight="1" x14ac:dyDescent="0.15">
      <c r="A40" s="210">
        <v>34</v>
      </c>
      <c r="B40" s="142" t="s">
        <v>70</v>
      </c>
      <c r="C40" s="224">
        <v>8120</v>
      </c>
      <c r="D40" s="224">
        <v>18962</v>
      </c>
      <c r="E40" s="224">
        <v>2230</v>
      </c>
      <c r="F40" s="224">
        <v>2250</v>
      </c>
      <c r="G40" s="303">
        <f t="shared" si="0"/>
        <v>11.865836937031959</v>
      </c>
      <c r="H40" s="224">
        <v>5653</v>
      </c>
      <c r="I40" s="224">
        <v>12158</v>
      </c>
      <c r="J40" s="224">
        <v>530</v>
      </c>
      <c r="K40" s="224">
        <v>790</v>
      </c>
      <c r="L40" s="304">
        <f t="shared" si="1"/>
        <v>6.4977792400065804</v>
      </c>
    </row>
    <row r="41" spans="1:12" s="49" customFormat="1" ht="14" customHeight="1" x14ac:dyDescent="0.15">
      <c r="A41" s="377"/>
      <c r="B41" s="139" t="s">
        <v>213</v>
      </c>
      <c r="C41" s="285">
        <f>SUM(C19:C40)</f>
        <v>477663</v>
      </c>
      <c r="D41" s="285">
        <f t="shared" ref="D41:K41" si="3">SUM(D19:D40)</f>
        <v>1087431</v>
      </c>
      <c r="E41" s="285">
        <f t="shared" si="3"/>
        <v>259069</v>
      </c>
      <c r="F41" s="285">
        <f t="shared" si="3"/>
        <v>397235.57000000007</v>
      </c>
      <c r="G41" s="308">
        <f t="shared" si="0"/>
        <v>36.529726483795301</v>
      </c>
      <c r="H41" s="285">
        <f t="shared" si="3"/>
        <v>355525</v>
      </c>
      <c r="I41" s="285">
        <f t="shared" si="3"/>
        <v>716541</v>
      </c>
      <c r="J41" s="285">
        <f t="shared" si="3"/>
        <v>98021</v>
      </c>
      <c r="K41" s="285">
        <f t="shared" si="3"/>
        <v>293833.71999999997</v>
      </c>
      <c r="L41" s="309">
        <f t="shared" si="1"/>
        <v>41.007244526133185</v>
      </c>
    </row>
    <row r="42" spans="1:12" s="49" customFormat="1" ht="14" customHeight="1" x14ac:dyDescent="0.15">
      <c r="A42" s="377"/>
      <c r="B42" s="139" t="s">
        <v>311</v>
      </c>
      <c r="C42" s="285">
        <f>C41+C18</f>
        <v>3749272</v>
      </c>
      <c r="D42" s="285">
        <f t="shared" ref="D42:K42" si="4">D41+D18</f>
        <v>8710505</v>
      </c>
      <c r="E42" s="285">
        <f t="shared" si="4"/>
        <v>773269</v>
      </c>
      <c r="F42" s="285">
        <f t="shared" si="4"/>
        <v>1325497.02162</v>
      </c>
      <c r="G42" s="308">
        <f t="shared" si="0"/>
        <v>15.217223589447455</v>
      </c>
      <c r="H42" s="285">
        <f t="shared" si="4"/>
        <v>2919705</v>
      </c>
      <c r="I42" s="285">
        <f t="shared" si="4"/>
        <v>5839782</v>
      </c>
      <c r="J42" s="285">
        <f t="shared" si="4"/>
        <v>556960</v>
      </c>
      <c r="K42" s="285">
        <f t="shared" si="4"/>
        <v>1122234.6399999999</v>
      </c>
      <c r="L42" s="309">
        <f t="shared" si="1"/>
        <v>19.217063924646499</v>
      </c>
    </row>
    <row r="43" spans="1:12" ht="14" customHeight="1" x14ac:dyDescent="0.15">
      <c r="A43" s="210">
        <v>35</v>
      </c>
      <c r="B43" s="142" t="s">
        <v>193</v>
      </c>
      <c r="C43" s="224">
        <v>452896</v>
      </c>
      <c r="D43" s="224">
        <v>979710</v>
      </c>
      <c r="E43" s="224">
        <v>55863</v>
      </c>
      <c r="F43" s="224">
        <v>65873</v>
      </c>
      <c r="G43" s="303">
        <f t="shared" si="0"/>
        <v>6.7237243674148477</v>
      </c>
      <c r="H43" s="224">
        <v>387888</v>
      </c>
      <c r="I43" s="224">
        <v>724340</v>
      </c>
      <c r="J43" s="224">
        <v>55859</v>
      </c>
      <c r="K43" s="224">
        <v>65860</v>
      </c>
      <c r="L43" s="304">
        <f t="shared" si="1"/>
        <v>9.0924151641494326</v>
      </c>
    </row>
    <row r="44" spans="1:12" ht="14" customHeight="1" x14ac:dyDescent="0.15">
      <c r="A44" s="210">
        <v>36</v>
      </c>
      <c r="B44" s="142" t="s">
        <v>382</v>
      </c>
      <c r="C44" s="224">
        <v>309016</v>
      </c>
      <c r="D44" s="224">
        <v>654669</v>
      </c>
      <c r="E44" s="224">
        <v>113238</v>
      </c>
      <c r="F44" s="224">
        <v>199211.22</v>
      </c>
      <c r="G44" s="303">
        <f t="shared" si="0"/>
        <v>30.429303968875875</v>
      </c>
      <c r="H44" s="224">
        <v>262256</v>
      </c>
      <c r="I44" s="224">
        <v>507887</v>
      </c>
      <c r="J44" s="224">
        <v>110754</v>
      </c>
      <c r="K44" s="224">
        <v>195751.29</v>
      </c>
      <c r="L44" s="304">
        <f t="shared" si="1"/>
        <v>38.542291887762438</v>
      </c>
    </row>
    <row r="45" spans="1:12" s="49" customFormat="1" ht="14" customHeight="1" x14ac:dyDescent="0.15">
      <c r="A45" s="377"/>
      <c r="B45" s="139" t="s">
        <v>216</v>
      </c>
      <c r="C45" s="285">
        <f>SUM(C43:C44)</f>
        <v>761912</v>
      </c>
      <c r="D45" s="285">
        <f t="shared" ref="D45:K45" si="5">SUM(D43:D44)</f>
        <v>1634379</v>
      </c>
      <c r="E45" s="285">
        <f t="shared" si="5"/>
        <v>169101</v>
      </c>
      <c r="F45" s="285">
        <f t="shared" si="5"/>
        <v>265084.21999999997</v>
      </c>
      <c r="G45" s="308">
        <f t="shared" si="0"/>
        <v>16.219262484405391</v>
      </c>
      <c r="H45" s="285">
        <f t="shared" si="5"/>
        <v>650144</v>
      </c>
      <c r="I45" s="285">
        <f t="shared" si="5"/>
        <v>1232227</v>
      </c>
      <c r="J45" s="285">
        <f t="shared" si="5"/>
        <v>166613</v>
      </c>
      <c r="K45" s="285">
        <f t="shared" si="5"/>
        <v>261611.29</v>
      </c>
      <c r="L45" s="309">
        <f t="shared" si="1"/>
        <v>21.230770791420735</v>
      </c>
    </row>
    <row r="46" spans="1:12" ht="14" customHeight="1" x14ac:dyDescent="0.15">
      <c r="A46" s="210">
        <v>37</v>
      </c>
      <c r="B46" s="142" t="s">
        <v>312</v>
      </c>
      <c r="C46" s="224">
        <v>1540272</v>
      </c>
      <c r="D46" s="224">
        <v>3586527</v>
      </c>
      <c r="E46" s="224">
        <v>1207769</v>
      </c>
      <c r="F46" s="224">
        <v>812230</v>
      </c>
      <c r="G46" s="303">
        <f t="shared" si="0"/>
        <v>22.646699718139583</v>
      </c>
      <c r="H46" s="224">
        <v>1426481</v>
      </c>
      <c r="I46" s="224">
        <v>2963077</v>
      </c>
      <c r="J46" s="224">
        <v>1207767</v>
      </c>
      <c r="K46" s="224">
        <v>812153</v>
      </c>
      <c r="L46" s="304">
        <f t="shared" si="1"/>
        <v>27.409108841923448</v>
      </c>
    </row>
    <row r="47" spans="1:12" s="49" customFormat="1" ht="14" customHeight="1" x14ac:dyDescent="0.15">
      <c r="A47" s="377"/>
      <c r="B47" s="139" t="s">
        <v>214</v>
      </c>
      <c r="C47" s="285">
        <f>C46</f>
        <v>1540272</v>
      </c>
      <c r="D47" s="285">
        <f t="shared" ref="D47:K47" si="6">D46</f>
        <v>3586527</v>
      </c>
      <c r="E47" s="285">
        <f t="shared" si="6"/>
        <v>1207769</v>
      </c>
      <c r="F47" s="285">
        <f t="shared" si="6"/>
        <v>812230</v>
      </c>
      <c r="G47" s="308">
        <f t="shared" si="0"/>
        <v>22.646699718139583</v>
      </c>
      <c r="H47" s="285">
        <f t="shared" si="6"/>
        <v>1426481</v>
      </c>
      <c r="I47" s="285">
        <f t="shared" si="6"/>
        <v>2963077</v>
      </c>
      <c r="J47" s="285">
        <f t="shared" si="6"/>
        <v>1207767</v>
      </c>
      <c r="K47" s="285">
        <f t="shared" si="6"/>
        <v>812153</v>
      </c>
      <c r="L47" s="309">
        <f t="shared" si="1"/>
        <v>27.409108841923448</v>
      </c>
    </row>
    <row r="48" spans="1:12" ht="14" customHeight="1" x14ac:dyDescent="0.15">
      <c r="A48" s="210">
        <v>38</v>
      </c>
      <c r="B48" s="142" t="s">
        <v>304</v>
      </c>
      <c r="C48" s="224">
        <v>12107</v>
      </c>
      <c r="D48" s="224">
        <v>24121</v>
      </c>
      <c r="E48" s="224">
        <v>1981</v>
      </c>
      <c r="F48" s="224">
        <v>4734.84</v>
      </c>
      <c r="G48" s="303">
        <f t="shared" si="0"/>
        <v>19.629534430579163</v>
      </c>
      <c r="H48" s="224">
        <v>8176</v>
      </c>
      <c r="I48" s="224">
        <v>13277</v>
      </c>
      <c r="J48" s="224">
        <v>0</v>
      </c>
      <c r="K48" s="224">
        <v>0</v>
      </c>
      <c r="L48" s="304">
        <f t="shared" si="1"/>
        <v>0</v>
      </c>
    </row>
    <row r="49" spans="1:12" ht="14" customHeight="1" x14ac:dyDescent="0.15">
      <c r="A49" s="210">
        <v>39</v>
      </c>
      <c r="B49" s="142" t="s">
        <v>305</v>
      </c>
      <c r="C49" s="224">
        <v>5667</v>
      </c>
      <c r="D49" s="224">
        <v>10788</v>
      </c>
      <c r="E49" s="224">
        <v>798</v>
      </c>
      <c r="F49" s="224">
        <v>370</v>
      </c>
      <c r="G49" s="303">
        <f t="shared" si="0"/>
        <v>3.4297367445309601</v>
      </c>
      <c r="H49" s="224">
        <v>3767</v>
      </c>
      <c r="I49" s="224">
        <v>6092</v>
      </c>
      <c r="J49" s="224">
        <v>0</v>
      </c>
      <c r="K49" s="224">
        <v>0</v>
      </c>
      <c r="L49" s="304">
        <f t="shared" si="1"/>
        <v>0</v>
      </c>
    </row>
    <row r="50" spans="1:12" ht="14" customHeight="1" x14ac:dyDescent="0.15">
      <c r="A50" s="210">
        <v>40</v>
      </c>
      <c r="B50" s="142" t="s">
        <v>383</v>
      </c>
      <c r="C50" s="224">
        <v>1416</v>
      </c>
      <c r="D50" s="224">
        <v>2658</v>
      </c>
      <c r="E50" s="224">
        <v>0</v>
      </c>
      <c r="F50" s="224">
        <v>0</v>
      </c>
      <c r="G50" s="303">
        <f t="shared" si="0"/>
        <v>0</v>
      </c>
      <c r="H50" s="224">
        <v>621</v>
      </c>
      <c r="I50" s="224">
        <v>990</v>
      </c>
      <c r="J50" s="224">
        <v>0</v>
      </c>
      <c r="K50" s="224">
        <v>0</v>
      </c>
      <c r="L50" s="304">
        <f t="shared" si="1"/>
        <v>0</v>
      </c>
    </row>
    <row r="51" spans="1:12" ht="14" customHeight="1" x14ac:dyDescent="0.15">
      <c r="A51" s="210">
        <v>41</v>
      </c>
      <c r="B51" s="142" t="s">
        <v>306</v>
      </c>
      <c r="C51" s="224">
        <v>15714</v>
      </c>
      <c r="D51" s="224">
        <v>35780</v>
      </c>
      <c r="E51" s="224">
        <v>149741</v>
      </c>
      <c r="F51" s="224">
        <v>27417.09</v>
      </c>
      <c r="G51" s="303">
        <f t="shared" si="0"/>
        <v>76.626858580212414</v>
      </c>
      <c r="H51" s="224">
        <v>15252</v>
      </c>
      <c r="I51" s="224">
        <v>31808</v>
      </c>
      <c r="J51" s="224">
        <v>0</v>
      </c>
      <c r="K51" s="224">
        <v>0</v>
      </c>
      <c r="L51" s="304">
        <f t="shared" si="1"/>
        <v>0</v>
      </c>
    </row>
    <row r="52" spans="1:12" ht="14" customHeight="1" x14ac:dyDescent="0.15">
      <c r="A52" s="210">
        <v>42</v>
      </c>
      <c r="B52" s="142" t="s">
        <v>307</v>
      </c>
      <c r="C52" s="224">
        <v>2615</v>
      </c>
      <c r="D52" s="224">
        <v>6414</v>
      </c>
      <c r="E52" s="224">
        <v>4190</v>
      </c>
      <c r="F52" s="224">
        <v>1718</v>
      </c>
      <c r="G52" s="303">
        <f t="shared" si="0"/>
        <v>26.785157468038665</v>
      </c>
      <c r="H52" s="224">
        <v>1861</v>
      </c>
      <c r="I52" s="224">
        <v>4089</v>
      </c>
      <c r="J52" s="224">
        <v>0</v>
      </c>
      <c r="K52" s="224">
        <v>0</v>
      </c>
      <c r="L52" s="304">
        <f t="shared" si="1"/>
        <v>0</v>
      </c>
    </row>
    <row r="53" spans="1:12" ht="14" customHeight="1" x14ac:dyDescent="0.15">
      <c r="A53" s="210">
        <v>43</v>
      </c>
      <c r="B53" s="142" t="s">
        <v>308</v>
      </c>
      <c r="C53" s="224">
        <v>1286</v>
      </c>
      <c r="D53" s="224">
        <v>2896</v>
      </c>
      <c r="E53" s="224">
        <v>3153</v>
      </c>
      <c r="F53" s="224">
        <v>702.33</v>
      </c>
      <c r="G53" s="303">
        <f t="shared" si="0"/>
        <v>24.251726519337016</v>
      </c>
      <c r="H53" s="224">
        <v>882</v>
      </c>
      <c r="I53" s="224">
        <v>1879</v>
      </c>
      <c r="J53" s="224">
        <v>0</v>
      </c>
      <c r="K53" s="224">
        <v>0</v>
      </c>
      <c r="L53" s="304">
        <f t="shared" si="1"/>
        <v>0</v>
      </c>
    </row>
    <row r="54" spans="1:12" ht="14" customHeight="1" x14ac:dyDescent="0.15">
      <c r="A54" s="210">
        <v>44</v>
      </c>
      <c r="B54" s="142" t="s">
        <v>300</v>
      </c>
      <c r="C54" s="224">
        <v>570</v>
      </c>
      <c r="D54" s="224">
        <v>1828</v>
      </c>
      <c r="E54" s="224">
        <v>1620</v>
      </c>
      <c r="F54" s="224">
        <v>668.6</v>
      </c>
      <c r="G54" s="303">
        <f t="shared" si="0"/>
        <v>36.575492341356671</v>
      </c>
      <c r="H54" s="224">
        <v>490</v>
      </c>
      <c r="I54" s="224">
        <v>1523</v>
      </c>
      <c r="J54" s="224">
        <v>0</v>
      </c>
      <c r="K54" s="224">
        <v>0</v>
      </c>
      <c r="L54" s="304">
        <f t="shared" si="1"/>
        <v>0</v>
      </c>
    </row>
    <row r="55" spans="1:12" ht="14" customHeight="1" x14ac:dyDescent="0.15">
      <c r="A55" s="210">
        <v>45</v>
      </c>
      <c r="B55" s="142" t="s">
        <v>309</v>
      </c>
      <c r="C55" s="224">
        <v>5721</v>
      </c>
      <c r="D55" s="224">
        <v>6301</v>
      </c>
      <c r="E55" s="224">
        <v>2848</v>
      </c>
      <c r="F55" s="224">
        <v>1264</v>
      </c>
      <c r="G55" s="303">
        <f t="shared" si="0"/>
        <v>20.060307887636885</v>
      </c>
      <c r="H55" s="224">
        <v>4839</v>
      </c>
      <c r="I55" s="224">
        <v>4307</v>
      </c>
      <c r="J55" s="224">
        <v>0</v>
      </c>
      <c r="K55" s="224">
        <v>0</v>
      </c>
      <c r="L55" s="304">
        <f t="shared" si="1"/>
        <v>0</v>
      </c>
    </row>
    <row r="56" spans="1:12" s="49" customFormat="1" ht="14" customHeight="1" x14ac:dyDescent="0.15">
      <c r="A56" s="377"/>
      <c r="B56" s="139" t="s">
        <v>310</v>
      </c>
      <c r="C56" s="285">
        <f>SUM(C48:C55)</f>
        <v>45096</v>
      </c>
      <c r="D56" s="285">
        <f t="shared" ref="D56:K56" si="7">SUM(D48:D55)</f>
        <v>90786</v>
      </c>
      <c r="E56" s="285">
        <f t="shared" si="7"/>
        <v>164331</v>
      </c>
      <c r="F56" s="285">
        <f t="shared" si="7"/>
        <v>36874.86</v>
      </c>
      <c r="G56" s="308">
        <f t="shared" si="0"/>
        <v>40.61734188090675</v>
      </c>
      <c r="H56" s="285">
        <f t="shared" si="7"/>
        <v>35888</v>
      </c>
      <c r="I56" s="285">
        <f t="shared" si="7"/>
        <v>63965</v>
      </c>
      <c r="J56" s="285">
        <f t="shared" si="7"/>
        <v>0</v>
      </c>
      <c r="K56" s="285">
        <f t="shared" si="7"/>
        <v>0</v>
      </c>
      <c r="L56" s="309">
        <f t="shared" si="1"/>
        <v>0</v>
      </c>
    </row>
    <row r="57" spans="1:12" s="49" customFormat="1" ht="14" customHeight="1" x14ac:dyDescent="0.15">
      <c r="A57" s="139"/>
      <c r="B57" s="139" t="s">
        <v>0</v>
      </c>
      <c r="C57" s="285">
        <f>C56+C47+C45+C42</f>
        <v>6096552</v>
      </c>
      <c r="D57" s="285">
        <f t="shared" ref="D57:K57" si="8">D56+D47+D45+D42</f>
        <v>14022197</v>
      </c>
      <c r="E57" s="285">
        <f t="shared" si="8"/>
        <v>2314470</v>
      </c>
      <c r="F57" s="285">
        <f t="shared" si="8"/>
        <v>2439686.1016199999</v>
      </c>
      <c r="G57" s="308">
        <f t="shared" si="0"/>
        <v>17.398743589324841</v>
      </c>
      <c r="H57" s="285">
        <f t="shared" si="8"/>
        <v>5032218</v>
      </c>
      <c r="I57" s="285">
        <f t="shared" si="8"/>
        <v>10099051</v>
      </c>
      <c r="J57" s="285">
        <f t="shared" si="8"/>
        <v>1931340</v>
      </c>
      <c r="K57" s="285">
        <f t="shared" si="8"/>
        <v>2195998.9299999997</v>
      </c>
      <c r="L57" s="309">
        <f t="shared" si="1"/>
        <v>21.744606795232539</v>
      </c>
    </row>
    <row r="58" spans="1:12" x14ac:dyDescent="0.2">
      <c r="E58" s="225" t="s">
        <v>1077</v>
      </c>
    </row>
  </sheetData>
  <autoFilter ref="H5:K51" xr:uid="{00000000-0009-0000-0000-000009000000}"/>
  <sortState xmlns:xlrd2="http://schemas.microsoft.com/office/spreadsheetml/2017/richdata2" ref="B8:L32">
    <sortCondition ref="B6:B32"/>
  </sortState>
  <mergeCells count="11">
    <mergeCell ref="B3:B5"/>
    <mergeCell ref="A1:L1"/>
    <mergeCell ref="H4:I4"/>
    <mergeCell ref="G3:G5"/>
    <mergeCell ref="E4:F4"/>
    <mergeCell ref="J4:K4"/>
    <mergeCell ref="A3:A5"/>
    <mergeCell ref="L3:L5"/>
    <mergeCell ref="C3:F3"/>
    <mergeCell ref="C4:D4"/>
    <mergeCell ref="H3:K3"/>
  </mergeCells>
  <pageMargins left="0.75" right="0.25" top="0.75" bottom="0.25" header="0.05" footer="0.3"/>
  <pageSetup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S58"/>
  <sheetViews>
    <sheetView view="pageBreakPreview" zoomScale="6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8" sqref="J28"/>
    </sheetView>
  </sheetViews>
  <sheetFormatPr baseColWidth="10" defaultColWidth="4.3984375" defaultRowHeight="14" x14ac:dyDescent="0.2"/>
  <cols>
    <col min="1" max="1" width="4.3984375" style="67"/>
    <col min="2" max="2" width="31.796875" style="36" customWidth="1"/>
    <col min="3" max="3" width="8.59765625" style="45" customWidth="1"/>
    <col min="4" max="4" width="8.796875" style="45" customWidth="1"/>
    <col min="5" max="5" width="8.796875" style="45" bestFit="1" customWidth="1"/>
    <col min="6" max="6" width="8.3984375" style="45" customWidth="1"/>
    <col min="7" max="7" width="7.796875" style="305" customWidth="1"/>
    <col min="8" max="8" width="8.796875" style="45" bestFit="1" customWidth="1"/>
    <col min="9" max="9" width="8.3984375" style="45" customWidth="1"/>
    <col min="10" max="10" width="8.796875" style="45" customWidth="1"/>
    <col min="11" max="11" width="9.3984375" style="45" customWidth="1"/>
    <col min="12" max="12" width="10" style="305" customWidth="1"/>
    <col min="13" max="13" width="10.59765625" style="45" customWidth="1"/>
    <col min="14" max="14" width="10.3984375" style="45" customWidth="1"/>
    <col min="15" max="15" width="9.796875" style="45" customWidth="1"/>
    <col min="16" max="16" width="10.796875" style="45" customWidth="1"/>
    <col min="17" max="17" width="9.19921875" style="305" customWidth="1"/>
    <col min="18" max="19" width="9.3984375" style="45" customWidth="1"/>
    <col min="20" max="16384" width="4.3984375" style="36"/>
  </cols>
  <sheetData>
    <row r="1" spans="1:17" ht="15" customHeight="1" x14ac:dyDescent="0.2">
      <c r="A1" s="403" t="s">
        <v>1049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7" ht="15" customHeight="1" x14ac:dyDescent="0.2">
      <c r="B2" s="43" t="s">
        <v>124</v>
      </c>
      <c r="C2" s="46"/>
      <c r="D2" s="46"/>
      <c r="F2" s="45" t="s">
        <v>133</v>
      </c>
      <c r="I2" s="46" t="s">
        <v>152</v>
      </c>
      <c r="J2" s="46"/>
      <c r="K2" s="46"/>
      <c r="L2" s="307"/>
      <c r="M2" s="46"/>
      <c r="N2" s="46"/>
    </row>
    <row r="3" spans="1:17" ht="35" customHeight="1" x14ac:dyDescent="0.2">
      <c r="A3" s="430" t="s">
        <v>110</v>
      </c>
      <c r="B3" s="430" t="s">
        <v>94</v>
      </c>
      <c r="C3" s="435" t="s">
        <v>150</v>
      </c>
      <c r="D3" s="436"/>
      <c r="E3" s="436"/>
      <c r="F3" s="436"/>
      <c r="G3" s="437"/>
      <c r="H3" s="435" t="s">
        <v>1028</v>
      </c>
      <c r="I3" s="436"/>
      <c r="J3" s="436"/>
      <c r="K3" s="436"/>
      <c r="L3" s="437"/>
      <c r="M3" s="408" t="s">
        <v>151</v>
      </c>
      <c r="N3" s="409"/>
      <c r="O3" s="409"/>
      <c r="P3" s="409"/>
      <c r="Q3" s="410"/>
    </row>
    <row r="4" spans="1:17" ht="25" customHeight="1" x14ac:dyDescent="0.2">
      <c r="A4" s="431"/>
      <c r="B4" s="431"/>
      <c r="C4" s="408" t="s">
        <v>19</v>
      </c>
      <c r="D4" s="410"/>
      <c r="E4" s="408" t="s">
        <v>149</v>
      </c>
      <c r="F4" s="410"/>
      <c r="G4" s="433" t="s">
        <v>148</v>
      </c>
      <c r="H4" s="408" t="s">
        <v>19</v>
      </c>
      <c r="I4" s="410"/>
      <c r="J4" s="408" t="s">
        <v>149</v>
      </c>
      <c r="K4" s="410"/>
      <c r="L4" s="433" t="s">
        <v>148</v>
      </c>
      <c r="M4" s="408" t="s">
        <v>19</v>
      </c>
      <c r="N4" s="410"/>
      <c r="O4" s="408" t="s">
        <v>149</v>
      </c>
      <c r="P4" s="410"/>
      <c r="Q4" s="429" t="s">
        <v>148</v>
      </c>
    </row>
    <row r="5" spans="1:17" ht="15" customHeight="1" x14ac:dyDescent="0.2">
      <c r="A5" s="432"/>
      <c r="B5" s="432"/>
      <c r="C5" s="377" t="s">
        <v>27</v>
      </c>
      <c r="D5" s="377" t="s">
        <v>15</v>
      </c>
      <c r="E5" s="377" t="s">
        <v>27</v>
      </c>
      <c r="F5" s="377" t="s">
        <v>15</v>
      </c>
      <c r="G5" s="434"/>
      <c r="H5" s="377" t="s">
        <v>27</v>
      </c>
      <c r="I5" s="377" t="s">
        <v>15</v>
      </c>
      <c r="J5" s="377" t="s">
        <v>27</v>
      </c>
      <c r="K5" s="377" t="s">
        <v>15</v>
      </c>
      <c r="L5" s="434"/>
      <c r="M5" s="377" t="s">
        <v>27</v>
      </c>
      <c r="N5" s="377" t="s">
        <v>15</v>
      </c>
      <c r="O5" s="377" t="s">
        <v>27</v>
      </c>
      <c r="P5" s="377" t="s">
        <v>15</v>
      </c>
      <c r="Q5" s="429"/>
    </row>
    <row r="6" spans="1:17" ht="13.5" customHeight="1" x14ac:dyDescent="0.15">
      <c r="A6" s="210">
        <v>1</v>
      </c>
      <c r="B6" s="142" t="s">
        <v>51</v>
      </c>
      <c r="C6" s="224">
        <v>5042</v>
      </c>
      <c r="D6" s="224">
        <v>25653</v>
      </c>
      <c r="E6" s="224">
        <v>27</v>
      </c>
      <c r="F6" s="224">
        <v>1285</v>
      </c>
      <c r="G6" s="306">
        <f>F6*100/D6</f>
        <v>5.0091607219428527</v>
      </c>
      <c r="H6" s="224">
        <v>5217</v>
      </c>
      <c r="I6" s="224">
        <v>33312</v>
      </c>
      <c r="J6" s="224">
        <v>6</v>
      </c>
      <c r="K6" s="224">
        <v>1174</v>
      </c>
      <c r="L6" s="306">
        <f>K6*100/I6</f>
        <v>3.5242555235350626</v>
      </c>
      <c r="M6" s="224">
        <f>H6+C6+'ACP_Agri_9(i)'!C6</f>
        <v>190348</v>
      </c>
      <c r="N6" s="224">
        <f>I6+D6+'ACP_Agri_9(i)'!D6</f>
        <v>461043</v>
      </c>
      <c r="O6" s="224">
        <f>J6+E6+'ACP_Agri_9(i)'!E6</f>
        <v>10557</v>
      </c>
      <c r="P6" s="224">
        <f>K6+F6+'ACP_Agri_9(i)'!F6</f>
        <v>13673</v>
      </c>
      <c r="Q6" s="306">
        <f>P6*100/N6</f>
        <v>2.9656669768329635</v>
      </c>
    </row>
    <row r="7" spans="1:17" ht="13.5" customHeight="1" x14ac:dyDescent="0.15">
      <c r="A7" s="210">
        <v>2</v>
      </c>
      <c r="B7" s="142" t="s">
        <v>52</v>
      </c>
      <c r="C7" s="224">
        <v>7064</v>
      </c>
      <c r="D7" s="224">
        <v>34947</v>
      </c>
      <c r="E7" s="224">
        <v>149</v>
      </c>
      <c r="F7" s="224">
        <v>227</v>
      </c>
      <c r="G7" s="306">
        <f t="shared" ref="G7:G57" si="0">F7*100/D7</f>
        <v>0.64955504048988466</v>
      </c>
      <c r="H7" s="224">
        <v>6219</v>
      </c>
      <c r="I7" s="224">
        <v>37258</v>
      </c>
      <c r="J7" s="224">
        <v>1028</v>
      </c>
      <c r="K7" s="224">
        <v>5663</v>
      </c>
      <c r="L7" s="306">
        <f t="shared" ref="L7:L57" si="1">K7*100/I7</f>
        <v>15.199420258736378</v>
      </c>
      <c r="M7" s="224">
        <f>H7+C7+'ACP_Agri_9(i)'!C7</f>
        <v>457365</v>
      </c>
      <c r="N7" s="224">
        <f>I7+D7+'ACP_Agri_9(i)'!D7</f>
        <v>1030126</v>
      </c>
      <c r="O7" s="224">
        <f>J7+E7+'ACP_Agri_9(i)'!E7</f>
        <v>170003</v>
      </c>
      <c r="P7" s="224">
        <f>K7+F7+'ACP_Agri_9(i)'!F7</f>
        <v>289522</v>
      </c>
      <c r="Q7" s="306">
        <f t="shared" ref="Q7:Q57" si="2">P7*100/N7</f>
        <v>28.105493891038574</v>
      </c>
    </row>
    <row r="8" spans="1:17" ht="13.5" customHeight="1" x14ac:dyDescent="0.15">
      <c r="A8" s="210">
        <v>3</v>
      </c>
      <c r="B8" s="142" t="s">
        <v>53</v>
      </c>
      <c r="C8" s="224">
        <v>1652</v>
      </c>
      <c r="D8" s="224">
        <v>10259</v>
      </c>
      <c r="E8" s="224">
        <v>34</v>
      </c>
      <c r="F8" s="224">
        <v>423</v>
      </c>
      <c r="G8" s="306">
        <f t="shared" si="0"/>
        <v>4.1232088897553369</v>
      </c>
      <c r="H8" s="224">
        <v>2048</v>
      </c>
      <c r="I8" s="224">
        <v>12974</v>
      </c>
      <c r="J8" s="224">
        <v>1033</v>
      </c>
      <c r="K8" s="224">
        <v>3481</v>
      </c>
      <c r="L8" s="306">
        <f t="shared" si="1"/>
        <v>26.830584245413906</v>
      </c>
      <c r="M8" s="224">
        <f>H8+C8+'ACP_Agri_9(i)'!C8</f>
        <v>90243</v>
      </c>
      <c r="N8" s="224">
        <f>I8+D8+'ACP_Agri_9(i)'!D8</f>
        <v>253024</v>
      </c>
      <c r="O8" s="224">
        <f>J8+E8+'ACP_Agri_9(i)'!E8</f>
        <v>10739</v>
      </c>
      <c r="P8" s="224">
        <f>K8+F8+'ACP_Agri_9(i)'!F8</f>
        <v>19174</v>
      </c>
      <c r="Q8" s="306">
        <f t="shared" si="2"/>
        <v>7.5779372707727326</v>
      </c>
    </row>
    <row r="9" spans="1:17" ht="13.5" customHeight="1" x14ac:dyDescent="0.15">
      <c r="A9" s="210">
        <v>4</v>
      </c>
      <c r="B9" s="142" t="s">
        <v>54</v>
      </c>
      <c r="C9" s="224">
        <v>3108</v>
      </c>
      <c r="D9" s="224">
        <v>17904</v>
      </c>
      <c r="E9" s="224">
        <v>64</v>
      </c>
      <c r="F9" s="224">
        <v>4894.46</v>
      </c>
      <c r="G9" s="306">
        <f t="shared" si="0"/>
        <v>27.337243074173369</v>
      </c>
      <c r="H9" s="224">
        <v>3344</v>
      </c>
      <c r="I9" s="224">
        <v>20282</v>
      </c>
      <c r="J9" s="224">
        <v>624</v>
      </c>
      <c r="K9" s="224">
        <v>8412.3162699999993</v>
      </c>
      <c r="L9" s="306">
        <f t="shared" si="1"/>
        <v>41.476759047431216</v>
      </c>
      <c r="M9" s="224">
        <f>H9+C9+'ACP_Agri_9(i)'!C9</f>
        <v>124403</v>
      </c>
      <c r="N9" s="224">
        <f>I9+D9+'ACP_Agri_9(i)'!D9</f>
        <v>292534</v>
      </c>
      <c r="O9" s="224">
        <f>J9+E9+'ACP_Agri_9(i)'!E9</f>
        <v>2411</v>
      </c>
      <c r="P9" s="224">
        <f>K9+F9+'ACP_Agri_9(i)'!F9</f>
        <v>17590.887889999998</v>
      </c>
      <c r="Q9" s="306">
        <f t="shared" si="2"/>
        <v>6.0132797862812524</v>
      </c>
    </row>
    <row r="10" spans="1:17" ht="13.5" customHeight="1" x14ac:dyDescent="0.15">
      <c r="A10" s="210">
        <v>5</v>
      </c>
      <c r="B10" s="142" t="s">
        <v>55</v>
      </c>
      <c r="C10" s="224">
        <v>7596</v>
      </c>
      <c r="D10" s="224">
        <v>40068</v>
      </c>
      <c r="E10" s="224">
        <v>178</v>
      </c>
      <c r="F10" s="224">
        <v>4309</v>
      </c>
      <c r="G10" s="306">
        <f t="shared" si="0"/>
        <v>10.754217829689528</v>
      </c>
      <c r="H10" s="224">
        <v>9284</v>
      </c>
      <c r="I10" s="224">
        <v>56237</v>
      </c>
      <c r="J10" s="224">
        <v>688</v>
      </c>
      <c r="K10" s="224">
        <v>20783</v>
      </c>
      <c r="L10" s="306">
        <f t="shared" si="1"/>
        <v>36.956096520084643</v>
      </c>
      <c r="M10" s="224">
        <f>H10+C10+'ACP_Agri_9(i)'!C10</f>
        <v>451219</v>
      </c>
      <c r="N10" s="224">
        <f>I10+D10+'ACP_Agri_9(i)'!D10</f>
        <v>1216835</v>
      </c>
      <c r="O10" s="224">
        <f>J10+E10+'ACP_Agri_9(i)'!E10</f>
        <v>109761</v>
      </c>
      <c r="P10" s="224">
        <f>K10+F10+'ACP_Agri_9(i)'!F10</f>
        <v>193504</v>
      </c>
      <c r="Q10" s="306">
        <f t="shared" si="2"/>
        <v>15.902238183484203</v>
      </c>
    </row>
    <row r="11" spans="1:17" ht="13.5" customHeight="1" x14ac:dyDescent="0.15">
      <c r="A11" s="210">
        <v>6</v>
      </c>
      <c r="B11" s="142" t="s">
        <v>56</v>
      </c>
      <c r="C11" s="224">
        <v>2801</v>
      </c>
      <c r="D11" s="224">
        <v>20649</v>
      </c>
      <c r="E11" s="224">
        <v>14</v>
      </c>
      <c r="F11" s="224">
        <v>97</v>
      </c>
      <c r="G11" s="306">
        <f t="shared" si="0"/>
        <v>0.46975640466850693</v>
      </c>
      <c r="H11" s="224">
        <v>3577</v>
      </c>
      <c r="I11" s="224">
        <v>21144</v>
      </c>
      <c r="J11" s="224">
        <v>96</v>
      </c>
      <c r="K11" s="224">
        <v>140</v>
      </c>
      <c r="L11" s="306">
        <f t="shared" si="1"/>
        <v>0.66212637154748388</v>
      </c>
      <c r="M11" s="224">
        <f>H11+C11+'ACP_Agri_9(i)'!C11</f>
        <v>135209</v>
      </c>
      <c r="N11" s="224">
        <f>I11+D11+'ACP_Agri_9(i)'!D11</f>
        <v>317960</v>
      </c>
      <c r="O11" s="224">
        <f>J11+E11+'ACP_Agri_9(i)'!E11</f>
        <v>2916</v>
      </c>
      <c r="P11" s="224">
        <f>K11+F11+'ACP_Agri_9(i)'!F11</f>
        <v>4252</v>
      </c>
      <c r="Q11" s="306">
        <f t="shared" si="2"/>
        <v>1.3372751289470373</v>
      </c>
    </row>
    <row r="12" spans="1:17" ht="13.5" customHeight="1" x14ac:dyDescent="0.15">
      <c r="A12" s="210">
        <v>7</v>
      </c>
      <c r="B12" s="142" t="s">
        <v>57</v>
      </c>
      <c r="C12" s="224">
        <v>849</v>
      </c>
      <c r="D12" s="224">
        <v>6367</v>
      </c>
      <c r="E12" s="224">
        <v>0</v>
      </c>
      <c r="F12" s="224">
        <v>0</v>
      </c>
      <c r="G12" s="306">
        <f t="shared" si="0"/>
        <v>0</v>
      </c>
      <c r="H12" s="224">
        <v>433</v>
      </c>
      <c r="I12" s="224">
        <v>3131</v>
      </c>
      <c r="J12" s="224">
        <v>42</v>
      </c>
      <c r="K12" s="224">
        <v>731</v>
      </c>
      <c r="L12" s="306">
        <f t="shared" si="1"/>
        <v>23.34717342702012</v>
      </c>
      <c r="M12" s="224">
        <f>H12+C12+'ACP_Agri_9(i)'!C12</f>
        <v>17146</v>
      </c>
      <c r="N12" s="224">
        <f>I12+D12+'ACP_Agri_9(i)'!D12</f>
        <v>43840</v>
      </c>
      <c r="O12" s="224">
        <f>J12+E12+'ACP_Agri_9(i)'!E12</f>
        <v>1004</v>
      </c>
      <c r="P12" s="224">
        <f>K12+F12+'ACP_Agri_9(i)'!F12</f>
        <v>2251</v>
      </c>
      <c r="Q12" s="306">
        <f t="shared" si="2"/>
        <v>5.1345802919708028</v>
      </c>
    </row>
    <row r="13" spans="1:17" ht="13.5" customHeight="1" x14ac:dyDescent="0.15">
      <c r="A13" s="210">
        <v>8</v>
      </c>
      <c r="B13" s="142" t="s">
        <v>178</v>
      </c>
      <c r="C13" s="224">
        <v>476</v>
      </c>
      <c r="D13" s="224">
        <v>2091</v>
      </c>
      <c r="E13" s="224">
        <v>1</v>
      </c>
      <c r="F13" s="224">
        <v>109</v>
      </c>
      <c r="G13" s="306">
        <f t="shared" si="0"/>
        <v>5.2128168340506935</v>
      </c>
      <c r="H13" s="224">
        <v>390</v>
      </c>
      <c r="I13" s="224">
        <v>2696</v>
      </c>
      <c r="J13" s="224">
        <v>11</v>
      </c>
      <c r="K13" s="224">
        <v>73</v>
      </c>
      <c r="L13" s="306">
        <f t="shared" si="1"/>
        <v>2.7077151335311571</v>
      </c>
      <c r="M13" s="224">
        <f>H13+C13+'ACP_Agri_9(i)'!C13</f>
        <v>16790</v>
      </c>
      <c r="N13" s="224">
        <f>I13+D13+'ACP_Agri_9(i)'!D13</f>
        <v>37734</v>
      </c>
      <c r="O13" s="224">
        <f>J13+E13+'ACP_Agri_9(i)'!E13</f>
        <v>67</v>
      </c>
      <c r="P13" s="224">
        <f>K13+F13+'ACP_Agri_9(i)'!F13</f>
        <v>279</v>
      </c>
      <c r="Q13" s="306">
        <f t="shared" si="2"/>
        <v>0.73938622992526637</v>
      </c>
    </row>
    <row r="14" spans="1:17" ht="13.5" customHeight="1" x14ac:dyDescent="0.15">
      <c r="A14" s="210">
        <v>9</v>
      </c>
      <c r="B14" s="142" t="s">
        <v>58</v>
      </c>
      <c r="C14" s="224">
        <v>6772</v>
      </c>
      <c r="D14" s="224">
        <v>37950</v>
      </c>
      <c r="E14" s="224">
        <v>87</v>
      </c>
      <c r="F14" s="224">
        <v>1531.44</v>
      </c>
      <c r="G14" s="306">
        <f t="shared" si="0"/>
        <v>4.035415019762846</v>
      </c>
      <c r="H14" s="224">
        <v>6382</v>
      </c>
      <c r="I14" s="224">
        <v>41114</v>
      </c>
      <c r="J14" s="224">
        <v>126</v>
      </c>
      <c r="K14" s="224">
        <v>1452.69</v>
      </c>
      <c r="L14" s="306">
        <f t="shared" si="1"/>
        <v>3.5333219827795883</v>
      </c>
      <c r="M14" s="224">
        <f>H14+C14+'ACP_Agri_9(i)'!C14</f>
        <v>270296</v>
      </c>
      <c r="N14" s="224">
        <f>I14+D14+'ACP_Agri_9(i)'!D14</f>
        <v>663414</v>
      </c>
      <c r="O14" s="224">
        <f>J14+E14+'ACP_Agri_9(i)'!E14</f>
        <v>27421</v>
      </c>
      <c r="P14" s="224">
        <f>K14+F14+'ACP_Agri_9(i)'!F14</f>
        <v>61072.469999999994</v>
      </c>
      <c r="Q14" s="306">
        <f t="shared" si="2"/>
        <v>9.2057855275891054</v>
      </c>
    </row>
    <row r="15" spans="1:17" ht="13.5" customHeight="1" x14ac:dyDescent="0.15">
      <c r="A15" s="210">
        <v>10</v>
      </c>
      <c r="B15" s="142" t="s">
        <v>64</v>
      </c>
      <c r="C15" s="224">
        <v>21423</v>
      </c>
      <c r="D15" s="224">
        <v>120343</v>
      </c>
      <c r="E15" s="224">
        <v>6</v>
      </c>
      <c r="F15" s="224">
        <v>44</v>
      </c>
      <c r="G15" s="306">
        <f t="shared" si="0"/>
        <v>3.6562159826495931E-2</v>
      </c>
      <c r="H15" s="224">
        <v>26580</v>
      </c>
      <c r="I15" s="224">
        <v>162078</v>
      </c>
      <c r="J15" s="224">
        <v>362</v>
      </c>
      <c r="K15" s="224">
        <v>64411</v>
      </c>
      <c r="L15" s="306">
        <f t="shared" si="1"/>
        <v>39.740742111822705</v>
      </c>
      <c r="M15" s="224">
        <f>H15+C15+'ACP_Agri_9(i)'!C15</f>
        <v>1302261</v>
      </c>
      <c r="N15" s="224">
        <f>I15+D15+'ACP_Agri_9(i)'!D15</f>
        <v>3239065</v>
      </c>
      <c r="O15" s="224">
        <f>J15+E15+'ACP_Agri_9(i)'!E15</f>
        <v>146466</v>
      </c>
      <c r="P15" s="224">
        <f>K15+F15+'ACP_Agri_9(i)'!F15</f>
        <v>359093</v>
      </c>
      <c r="Q15" s="306">
        <f t="shared" si="2"/>
        <v>11.08631657592546</v>
      </c>
    </row>
    <row r="16" spans="1:17" ht="13.5" customHeight="1" x14ac:dyDescent="0.15">
      <c r="A16" s="210">
        <v>11</v>
      </c>
      <c r="B16" s="142" t="s">
        <v>179</v>
      </c>
      <c r="C16" s="224">
        <v>3114</v>
      </c>
      <c r="D16" s="224">
        <v>16065</v>
      </c>
      <c r="E16" s="224">
        <v>1</v>
      </c>
      <c r="F16" s="224">
        <v>1</v>
      </c>
      <c r="G16" s="306">
        <f t="shared" si="0"/>
        <v>6.2247121070650481E-3</v>
      </c>
      <c r="H16" s="224">
        <v>2372</v>
      </c>
      <c r="I16" s="224">
        <v>15159</v>
      </c>
      <c r="J16" s="224">
        <v>2</v>
      </c>
      <c r="K16" s="224">
        <v>40</v>
      </c>
      <c r="L16" s="306">
        <f t="shared" si="1"/>
        <v>0.26386964839369353</v>
      </c>
      <c r="M16" s="224">
        <f>H16+C16+'ACP_Agri_9(i)'!C16</f>
        <v>104777</v>
      </c>
      <c r="N16" s="224">
        <f>I16+D16+'ACP_Agri_9(i)'!D16</f>
        <v>305228</v>
      </c>
      <c r="O16" s="224">
        <f>J16+E16+'ACP_Agri_9(i)'!E16</f>
        <v>852</v>
      </c>
      <c r="P16" s="224">
        <f>K16+F16+'ACP_Agri_9(i)'!F16</f>
        <v>2022</v>
      </c>
      <c r="Q16" s="306">
        <f t="shared" si="2"/>
        <v>0.6624556069561115</v>
      </c>
    </row>
    <row r="17" spans="1:19" ht="13.5" customHeight="1" x14ac:dyDescent="0.15">
      <c r="A17" s="210">
        <v>12</v>
      </c>
      <c r="B17" s="142" t="s">
        <v>60</v>
      </c>
      <c r="C17" s="224">
        <v>4613</v>
      </c>
      <c r="D17" s="224">
        <v>30377</v>
      </c>
      <c r="E17" s="224">
        <v>62</v>
      </c>
      <c r="F17" s="224">
        <v>1633</v>
      </c>
      <c r="G17" s="306">
        <f t="shared" si="0"/>
        <v>5.375777726569444</v>
      </c>
      <c r="H17" s="224">
        <v>5743</v>
      </c>
      <c r="I17" s="224">
        <v>35577</v>
      </c>
      <c r="J17" s="224">
        <v>588</v>
      </c>
      <c r="K17" s="224">
        <v>44920</v>
      </c>
      <c r="L17" s="306">
        <f t="shared" si="1"/>
        <v>126.26134862411108</v>
      </c>
      <c r="M17" s="224">
        <f>H17+C17+'ACP_Agri_9(i)'!C17</f>
        <v>247651</v>
      </c>
      <c r="N17" s="224">
        <f>I17+D17+'ACP_Agri_9(i)'!D17</f>
        <v>565906</v>
      </c>
      <c r="O17" s="224">
        <f>J17+E17+'ACP_Agri_9(i)'!E17</f>
        <v>37232</v>
      </c>
      <c r="P17" s="224">
        <f>K17+F17+'ACP_Agri_9(i)'!F17</f>
        <v>131663</v>
      </c>
      <c r="Q17" s="306">
        <f t="shared" si="2"/>
        <v>23.265878078691514</v>
      </c>
    </row>
    <row r="18" spans="1:19" s="43" customFormat="1" ht="13.5" customHeight="1" x14ac:dyDescent="0.15">
      <c r="A18" s="377"/>
      <c r="B18" s="139" t="s">
        <v>215</v>
      </c>
      <c r="C18" s="285">
        <f>SUM(C6:C17)</f>
        <v>64510</v>
      </c>
      <c r="D18" s="285">
        <f t="shared" ref="D18:K18" si="3">SUM(D6:D17)</f>
        <v>362673</v>
      </c>
      <c r="E18" s="285">
        <f t="shared" si="3"/>
        <v>623</v>
      </c>
      <c r="F18" s="285">
        <f t="shared" si="3"/>
        <v>14553.9</v>
      </c>
      <c r="G18" s="242">
        <f t="shared" si="0"/>
        <v>4.0129538179020772</v>
      </c>
      <c r="H18" s="285">
        <f t="shared" si="3"/>
        <v>71589</v>
      </c>
      <c r="I18" s="285">
        <f t="shared" si="3"/>
        <v>440962</v>
      </c>
      <c r="J18" s="285">
        <f t="shared" si="3"/>
        <v>4606</v>
      </c>
      <c r="K18" s="285">
        <f t="shared" si="3"/>
        <v>151281.00627000001</v>
      </c>
      <c r="L18" s="242">
        <f t="shared" si="1"/>
        <v>34.30703921653113</v>
      </c>
      <c r="M18" s="285">
        <f>H18+C18+'ACP_Agri_9(i)'!C18</f>
        <v>3407708</v>
      </c>
      <c r="N18" s="285">
        <f>I18+D18+'ACP_Agri_9(i)'!D18</f>
        <v>8426709</v>
      </c>
      <c r="O18" s="285">
        <f>J18+E18+'ACP_Agri_9(i)'!E18</f>
        <v>519429</v>
      </c>
      <c r="P18" s="285">
        <f>K18+F18+'ACP_Agri_9(i)'!F18</f>
        <v>1094096.3578899999</v>
      </c>
      <c r="Q18" s="242">
        <f t="shared" si="2"/>
        <v>12.983673197804741</v>
      </c>
      <c r="R18" s="45"/>
      <c r="S18" s="45"/>
    </row>
    <row r="19" spans="1:19" ht="13.5" customHeight="1" x14ac:dyDescent="0.15">
      <c r="A19" s="210">
        <v>13</v>
      </c>
      <c r="B19" s="142" t="s">
        <v>41</v>
      </c>
      <c r="C19" s="224">
        <v>2231</v>
      </c>
      <c r="D19" s="224">
        <v>11265</v>
      </c>
      <c r="E19" s="224">
        <v>38</v>
      </c>
      <c r="F19" s="224">
        <v>978.63</v>
      </c>
      <c r="G19" s="306">
        <f t="shared" si="0"/>
        <v>8.6873501997336877</v>
      </c>
      <c r="H19" s="224">
        <v>2645</v>
      </c>
      <c r="I19" s="224">
        <v>17550</v>
      </c>
      <c r="J19" s="224">
        <v>226</v>
      </c>
      <c r="K19" s="224">
        <v>6218.57</v>
      </c>
      <c r="L19" s="306">
        <f t="shared" si="1"/>
        <v>35.433447293447294</v>
      </c>
      <c r="M19" s="224">
        <f>H19+C19+'ACP_Agri_9(i)'!C19</f>
        <v>78321</v>
      </c>
      <c r="N19" s="224">
        <f>I19+D19+'ACP_Agri_9(i)'!D19</f>
        <v>216401</v>
      </c>
      <c r="O19" s="224">
        <f>J19+E19+'ACP_Agri_9(i)'!E19</f>
        <v>7090</v>
      </c>
      <c r="P19" s="224">
        <f>K19+F19+'ACP_Agri_9(i)'!F19</f>
        <v>26141.190000000002</v>
      </c>
      <c r="Q19" s="306">
        <f t="shared" si="2"/>
        <v>12.079976525062269</v>
      </c>
    </row>
    <row r="20" spans="1:19" ht="13.5" customHeight="1" x14ac:dyDescent="0.15">
      <c r="A20" s="210">
        <v>14</v>
      </c>
      <c r="B20" s="142" t="s">
        <v>180</v>
      </c>
      <c r="C20" s="224">
        <v>533</v>
      </c>
      <c r="D20" s="224">
        <v>5376</v>
      </c>
      <c r="E20" s="224">
        <v>120</v>
      </c>
      <c r="F20" s="224">
        <v>73.77</v>
      </c>
      <c r="G20" s="306">
        <f t="shared" si="0"/>
        <v>1.3722098214285714</v>
      </c>
      <c r="H20" s="224">
        <v>346</v>
      </c>
      <c r="I20" s="224">
        <v>2523</v>
      </c>
      <c r="J20" s="224">
        <v>3286</v>
      </c>
      <c r="K20" s="224">
        <v>1956.11</v>
      </c>
      <c r="L20" s="306">
        <f t="shared" si="1"/>
        <v>77.531113753468091</v>
      </c>
      <c r="M20" s="224">
        <f>H20+C20+'ACP_Agri_9(i)'!C20</f>
        <v>29818</v>
      </c>
      <c r="N20" s="224">
        <f>I20+D20+'ACP_Agri_9(i)'!D20</f>
        <v>74530</v>
      </c>
      <c r="O20" s="224">
        <f>J20+E20+'ACP_Agri_9(i)'!E20</f>
        <v>21146</v>
      </c>
      <c r="P20" s="224">
        <f>K20+F20+'ACP_Agri_9(i)'!F20</f>
        <v>13075.81</v>
      </c>
      <c r="Q20" s="306">
        <f t="shared" si="2"/>
        <v>17.544357976653696</v>
      </c>
    </row>
    <row r="21" spans="1:19" ht="13.5" customHeight="1" x14ac:dyDescent="0.15">
      <c r="A21" s="210">
        <v>15</v>
      </c>
      <c r="B21" s="142" t="s">
        <v>181</v>
      </c>
      <c r="C21" s="224">
        <v>0</v>
      </c>
      <c r="D21" s="224">
        <v>0</v>
      </c>
      <c r="E21" s="224">
        <v>0</v>
      </c>
      <c r="F21" s="224">
        <v>0</v>
      </c>
      <c r="G21" s="306">
        <v>0</v>
      </c>
      <c r="H21" s="224">
        <v>0</v>
      </c>
      <c r="I21" s="224">
        <v>0</v>
      </c>
      <c r="J21" s="224">
        <v>0</v>
      </c>
      <c r="K21" s="224">
        <v>0</v>
      </c>
      <c r="L21" s="306">
        <v>0</v>
      </c>
      <c r="M21" s="224">
        <f>H21+C21+'ACP_Agri_9(i)'!C21</f>
        <v>158</v>
      </c>
      <c r="N21" s="224">
        <f>I21+D21+'ACP_Agri_9(i)'!D21</f>
        <v>215</v>
      </c>
      <c r="O21" s="224">
        <f>J21+E21+'ACP_Agri_9(i)'!E21</f>
        <v>24</v>
      </c>
      <c r="P21" s="224">
        <f>K21+F21+'ACP_Agri_9(i)'!F21</f>
        <v>56</v>
      </c>
      <c r="Q21" s="306">
        <f t="shared" si="2"/>
        <v>26.046511627906977</v>
      </c>
    </row>
    <row r="22" spans="1:19" ht="13.5" customHeight="1" x14ac:dyDescent="0.15">
      <c r="A22" s="210">
        <v>16</v>
      </c>
      <c r="B22" s="142" t="s">
        <v>45</v>
      </c>
      <c r="C22" s="224">
        <v>8</v>
      </c>
      <c r="D22" s="224">
        <v>40</v>
      </c>
      <c r="E22" s="224">
        <v>0</v>
      </c>
      <c r="F22" s="224">
        <v>0</v>
      </c>
      <c r="G22" s="306">
        <f t="shared" si="0"/>
        <v>0</v>
      </c>
      <c r="H22" s="224">
        <v>80</v>
      </c>
      <c r="I22" s="224">
        <v>484</v>
      </c>
      <c r="J22" s="224">
        <v>0</v>
      </c>
      <c r="K22" s="224">
        <v>0</v>
      </c>
      <c r="L22" s="306">
        <f t="shared" si="1"/>
        <v>0</v>
      </c>
      <c r="M22" s="224">
        <f>H22+C22+'ACP_Agri_9(i)'!C22</f>
        <v>536</v>
      </c>
      <c r="N22" s="224">
        <f>I22+D22+'ACP_Agri_9(i)'!D22</f>
        <v>1472</v>
      </c>
      <c r="O22" s="224">
        <f>J22+E22+'ACP_Agri_9(i)'!E22</f>
        <v>3</v>
      </c>
      <c r="P22" s="224">
        <f>K22+F22+'ACP_Agri_9(i)'!F22</f>
        <v>6</v>
      </c>
      <c r="Q22" s="306">
        <f t="shared" si="2"/>
        <v>0.40760869565217389</v>
      </c>
    </row>
    <row r="23" spans="1:19" ht="13.5" customHeight="1" x14ac:dyDescent="0.15">
      <c r="A23" s="210">
        <v>17</v>
      </c>
      <c r="B23" s="142" t="s">
        <v>182</v>
      </c>
      <c r="C23" s="224">
        <v>367</v>
      </c>
      <c r="D23" s="224">
        <v>2454</v>
      </c>
      <c r="E23" s="224">
        <v>0</v>
      </c>
      <c r="F23" s="224">
        <v>0</v>
      </c>
      <c r="G23" s="306">
        <f t="shared" si="0"/>
        <v>0</v>
      </c>
      <c r="H23" s="224">
        <v>410</v>
      </c>
      <c r="I23" s="224">
        <v>2391</v>
      </c>
      <c r="J23" s="224">
        <v>1</v>
      </c>
      <c r="K23" s="224">
        <v>11</v>
      </c>
      <c r="L23" s="306">
        <f t="shared" si="1"/>
        <v>0.46005855290673359</v>
      </c>
      <c r="M23" s="224">
        <f>H23+C23+'ACP_Agri_9(i)'!C23</f>
        <v>10860</v>
      </c>
      <c r="N23" s="224">
        <f>I23+D23+'ACP_Agri_9(i)'!D23</f>
        <v>27785</v>
      </c>
      <c r="O23" s="224">
        <f>J23+E23+'ACP_Agri_9(i)'!E23</f>
        <v>5746</v>
      </c>
      <c r="P23" s="224">
        <f>K23+F23+'ACP_Agri_9(i)'!F23</f>
        <v>10255</v>
      </c>
      <c r="Q23" s="306">
        <f t="shared" si="2"/>
        <v>36.9084038150081</v>
      </c>
    </row>
    <row r="24" spans="1:19" ht="13.5" customHeight="1" x14ac:dyDescent="0.15">
      <c r="A24" s="210">
        <v>18</v>
      </c>
      <c r="B24" s="142" t="s">
        <v>183</v>
      </c>
      <c r="C24" s="224">
        <v>12</v>
      </c>
      <c r="D24" s="224">
        <v>60</v>
      </c>
      <c r="E24" s="224">
        <v>0</v>
      </c>
      <c r="F24" s="224">
        <v>0</v>
      </c>
      <c r="G24" s="306">
        <f t="shared" si="0"/>
        <v>0</v>
      </c>
      <c r="H24" s="224">
        <v>70</v>
      </c>
      <c r="I24" s="224">
        <v>360</v>
      </c>
      <c r="J24" s="224">
        <v>0</v>
      </c>
      <c r="K24" s="224">
        <v>0</v>
      </c>
      <c r="L24" s="306">
        <f t="shared" si="1"/>
        <v>0</v>
      </c>
      <c r="M24" s="224">
        <f>H24+C24+'ACP_Agri_9(i)'!C24</f>
        <v>120</v>
      </c>
      <c r="N24" s="224">
        <f>I24+D24+'ACP_Agri_9(i)'!D24</f>
        <v>500</v>
      </c>
      <c r="O24" s="224">
        <f>J24+E24+'ACP_Agri_9(i)'!E24</f>
        <v>0</v>
      </c>
      <c r="P24" s="224">
        <f>K24+F24+'ACP_Agri_9(i)'!F24</f>
        <v>0</v>
      </c>
      <c r="Q24" s="306">
        <f t="shared" si="2"/>
        <v>0</v>
      </c>
    </row>
    <row r="25" spans="1:19" ht="13.5" customHeight="1" x14ac:dyDescent="0.15">
      <c r="A25" s="210">
        <v>19</v>
      </c>
      <c r="B25" s="142" t="s">
        <v>184</v>
      </c>
      <c r="C25" s="224">
        <v>96</v>
      </c>
      <c r="D25" s="224">
        <v>466</v>
      </c>
      <c r="E25" s="224">
        <v>4</v>
      </c>
      <c r="F25" s="224">
        <v>221</v>
      </c>
      <c r="G25" s="306">
        <f t="shared" si="0"/>
        <v>47.42489270386266</v>
      </c>
      <c r="H25" s="224">
        <v>95</v>
      </c>
      <c r="I25" s="224">
        <v>678</v>
      </c>
      <c r="J25" s="224">
        <v>32</v>
      </c>
      <c r="K25" s="224">
        <v>366</v>
      </c>
      <c r="L25" s="306">
        <f t="shared" si="1"/>
        <v>53.982300884955755</v>
      </c>
      <c r="M25" s="224">
        <f>H25+C25+'ACP_Agri_9(i)'!C25</f>
        <v>2991</v>
      </c>
      <c r="N25" s="224">
        <f>I25+D25+'ACP_Agri_9(i)'!D25</f>
        <v>6987</v>
      </c>
      <c r="O25" s="224">
        <f>J25+E25+'ACP_Agri_9(i)'!E25</f>
        <v>8435</v>
      </c>
      <c r="P25" s="224">
        <f>K25+F25+'ACP_Agri_9(i)'!F25</f>
        <v>15268</v>
      </c>
      <c r="Q25" s="306">
        <f t="shared" si="2"/>
        <v>218.52010877343639</v>
      </c>
    </row>
    <row r="26" spans="1:19" ht="13.5" customHeight="1" x14ac:dyDescent="0.15">
      <c r="A26" s="210">
        <v>20</v>
      </c>
      <c r="B26" s="142" t="s">
        <v>65</v>
      </c>
      <c r="C26" s="224">
        <v>3765</v>
      </c>
      <c r="D26" s="224">
        <v>18561</v>
      </c>
      <c r="E26" s="224">
        <v>36</v>
      </c>
      <c r="F26" s="224">
        <v>736.01</v>
      </c>
      <c r="G26" s="306">
        <f t="shared" si="0"/>
        <v>3.9653574699639029</v>
      </c>
      <c r="H26" s="224">
        <v>4610</v>
      </c>
      <c r="I26" s="224">
        <v>29639</v>
      </c>
      <c r="J26" s="224">
        <v>545</v>
      </c>
      <c r="K26" s="224">
        <v>34503.58</v>
      </c>
      <c r="L26" s="306">
        <f t="shared" si="1"/>
        <v>116.41276696244813</v>
      </c>
      <c r="M26" s="224">
        <f>H26+C26+'ACP_Agri_9(i)'!C26</f>
        <v>142332</v>
      </c>
      <c r="N26" s="224">
        <f>I26+D26+'ACP_Agri_9(i)'!D26</f>
        <v>337899</v>
      </c>
      <c r="O26" s="224">
        <f>J26+E26+'ACP_Agri_9(i)'!E26</f>
        <v>17074</v>
      </c>
      <c r="P26" s="224">
        <f>K26+F26+'ACP_Agri_9(i)'!F26</f>
        <v>97379.44</v>
      </c>
      <c r="Q26" s="306">
        <f t="shared" si="2"/>
        <v>28.819096830709768</v>
      </c>
    </row>
    <row r="27" spans="1:19" ht="13.5" customHeight="1" x14ac:dyDescent="0.15">
      <c r="A27" s="210">
        <v>21</v>
      </c>
      <c r="B27" s="142" t="s">
        <v>66</v>
      </c>
      <c r="C27" s="224">
        <v>3104</v>
      </c>
      <c r="D27" s="224">
        <v>15840</v>
      </c>
      <c r="E27" s="224">
        <v>2</v>
      </c>
      <c r="F27" s="224">
        <v>500</v>
      </c>
      <c r="G27" s="306">
        <f t="shared" si="0"/>
        <v>3.1565656565656566</v>
      </c>
      <c r="H27" s="224">
        <v>4160</v>
      </c>
      <c r="I27" s="224">
        <v>25725</v>
      </c>
      <c r="J27" s="224">
        <v>86</v>
      </c>
      <c r="K27" s="224">
        <v>15289</v>
      </c>
      <c r="L27" s="306">
        <f t="shared" si="1"/>
        <v>59.432458697764822</v>
      </c>
      <c r="M27" s="224">
        <f>H27+C27+'ACP_Agri_9(i)'!C27</f>
        <v>137078</v>
      </c>
      <c r="N27" s="224">
        <f>I27+D27+'ACP_Agri_9(i)'!D27</f>
        <v>343685</v>
      </c>
      <c r="O27" s="224">
        <f>J27+E27+'ACP_Agri_9(i)'!E27</f>
        <v>52179</v>
      </c>
      <c r="P27" s="224">
        <f>K27+F27+'ACP_Agri_9(i)'!F27</f>
        <v>114189</v>
      </c>
      <c r="Q27" s="306">
        <f t="shared" si="2"/>
        <v>33.224900708497607</v>
      </c>
    </row>
    <row r="28" spans="1:19" ht="13.5" customHeight="1" x14ac:dyDescent="0.15">
      <c r="A28" s="210">
        <v>22</v>
      </c>
      <c r="B28" s="142" t="s">
        <v>75</v>
      </c>
      <c r="C28" s="224">
        <v>1407</v>
      </c>
      <c r="D28" s="224">
        <v>8044</v>
      </c>
      <c r="E28" s="224">
        <v>41</v>
      </c>
      <c r="F28" s="224">
        <v>2021</v>
      </c>
      <c r="G28" s="306">
        <f t="shared" si="0"/>
        <v>25.124316260566882</v>
      </c>
      <c r="H28" s="224">
        <v>1620</v>
      </c>
      <c r="I28" s="224">
        <v>10823</v>
      </c>
      <c r="J28" s="224">
        <v>640</v>
      </c>
      <c r="K28" s="224">
        <v>6616</v>
      </c>
      <c r="L28" s="306">
        <f t="shared" si="1"/>
        <v>61.129076965721147</v>
      </c>
      <c r="M28" s="224">
        <f>H28+C28+'ACP_Agri_9(i)'!C28</f>
        <v>40537</v>
      </c>
      <c r="N28" s="224">
        <f>I28+D28+'ACP_Agri_9(i)'!D28</f>
        <v>96004</v>
      </c>
      <c r="O28" s="224">
        <f>J28+E28+'ACP_Agri_9(i)'!E28</f>
        <v>26248</v>
      </c>
      <c r="P28" s="224">
        <f>K28+F28+'ACP_Agri_9(i)'!F28</f>
        <v>68250</v>
      </c>
      <c r="Q28" s="306">
        <f t="shared" si="2"/>
        <v>71.090787883838175</v>
      </c>
    </row>
    <row r="29" spans="1:19" ht="13.5" customHeight="1" x14ac:dyDescent="0.15">
      <c r="A29" s="210">
        <v>23</v>
      </c>
      <c r="B29" s="142" t="s">
        <v>379</v>
      </c>
      <c r="C29" s="224">
        <v>931</v>
      </c>
      <c r="D29" s="224">
        <v>5053</v>
      </c>
      <c r="E29" s="224">
        <v>0</v>
      </c>
      <c r="F29" s="224">
        <v>0</v>
      </c>
      <c r="G29" s="306">
        <f t="shared" si="0"/>
        <v>0</v>
      </c>
      <c r="H29" s="224">
        <v>373</v>
      </c>
      <c r="I29" s="224">
        <v>2082</v>
      </c>
      <c r="J29" s="224">
        <v>98</v>
      </c>
      <c r="K29" s="224">
        <v>7087</v>
      </c>
      <c r="L29" s="306">
        <f t="shared" si="1"/>
        <v>340.39385206532182</v>
      </c>
      <c r="M29" s="224">
        <f>H29+C29+'ACP_Agri_9(i)'!C29</f>
        <v>10266</v>
      </c>
      <c r="N29" s="224">
        <f>I29+D29+'ACP_Agri_9(i)'!D29</f>
        <v>26087</v>
      </c>
      <c r="O29" s="224">
        <f>J29+E29+'ACP_Agri_9(i)'!E29</f>
        <v>5731</v>
      </c>
      <c r="P29" s="224">
        <f>K29+F29+'ACP_Agri_9(i)'!F29</f>
        <v>13613</v>
      </c>
      <c r="Q29" s="306">
        <f t="shared" si="2"/>
        <v>52.183079694867175</v>
      </c>
    </row>
    <row r="30" spans="1:19" ht="13.5" customHeight="1" x14ac:dyDescent="0.15">
      <c r="A30" s="210">
        <v>24</v>
      </c>
      <c r="B30" s="142" t="s">
        <v>185</v>
      </c>
      <c r="C30" s="224">
        <v>795</v>
      </c>
      <c r="D30" s="224">
        <v>6071</v>
      </c>
      <c r="E30" s="224">
        <v>1</v>
      </c>
      <c r="F30" s="224">
        <v>1</v>
      </c>
      <c r="G30" s="306">
        <f t="shared" si="0"/>
        <v>1.647175094712568E-2</v>
      </c>
      <c r="H30" s="224">
        <v>477</v>
      </c>
      <c r="I30" s="224">
        <v>2959</v>
      </c>
      <c r="J30" s="224">
        <v>9</v>
      </c>
      <c r="K30" s="224">
        <v>751</v>
      </c>
      <c r="L30" s="306">
        <f t="shared" si="1"/>
        <v>25.380196012166273</v>
      </c>
      <c r="M30" s="224">
        <f>H30+C30+'ACP_Agri_9(i)'!C30</f>
        <v>13108</v>
      </c>
      <c r="N30" s="224">
        <f>I30+D30+'ACP_Agri_9(i)'!D30</f>
        <v>34673</v>
      </c>
      <c r="O30" s="224">
        <f>J30+E30+'ACP_Agri_9(i)'!E30</f>
        <v>88319</v>
      </c>
      <c r="P30" s="224">
        <f>K30+F30+'ACP_Agri_9(i)'!F30</f>
        <v>74852</v>
      </c>
      <c r="Q30" s="306">
        <f t="shared" si="2"/>
        <v>215.87979119199377</v>
      </c>
    </row>
    <row r="31" spans="1:19" ht="13.5" customHeight="1" x14ac:dyDescent="0.15">
      <c r="A31" s="210">
        <v>25</v>
      </c>
      <c r="B31" s="142" t="s">
        <v>186</v>
      </c>
      <c r="C31" s="224">
        <v>6</v>
      </c>
      <c r="D31" s="224">
        <v>30</v>
      </c>
      <c r="E31" s="224">
        <v>0</v>
      </c>
      <c r="F31" s="224">
        <v>0</v>
      </c>
      <c r="G31" s="306">
        <f t="shared" si="0"/>
        <v>0</v>
      </c>
      <c r="H31" s="224">
        <v>74</v>
      </c>
      <c r="I31" s="224">
        <v>540</v>
      </c>
      <c r="J31" s="224">
        <v>9</v>
      </c>
      <c r="K31" s="224">
        <v>61</v>
      </c>
      <c r="L31" s="306">
        <f t="shared" si="1"/>
        <v>11.296296296296296</v>
      </c>
      <c r="M31" s="224">
        <f>H31+C31+'ACP_Agri_9(i)'!C31</f>
        <v>116</v>
      </c>
      <c r="N31" s="224">
        <f>I31+D31+'ACP_Agri_9(i)'!D31</f>
        <v>646</v>
      </c>
      <c r="O31" s="224">
        <f>J31+E31+'ACP_Agri_9(i)'!E31</f>
        <v>9</v>
      </c>
      <c r="P31" s="224">
        <f>K31+F31+'ACP_Agri_9(i)'!F31</f>
        <v>61</v>
      </c>
      <c r="Q31" s="306">
        <f t="shared" si="2"/>
        <v>9.442724458204335</v>
      </c>
    </row>
    <row r="32" spans="1:19" ht="13.5" customHeight="1" x14ac:dyDescent="0.15">
      <c r="A32" s="210">
        <v>26</v>
      </c>
      <c r="B32" s="142" t="s">
        <v>187</v>
      </c>
      <c r="C32" s="224">
        <v>13</v>
      </c>
      <c r="D32" s="224">
        <v>69</v>
      </c>
      <c r="E32" s="224">
        <v>37</v>
      </c>
      <c r="F32" s="224">
        <v>716.69</v>
      </c>
      <c r="G32" s="306">
        <f t="shared" si="0"/>
        <v>1038.6811594202898</v>
      </c>
      <c r="H32" s="224">
        <v>173</v>
      </c>
      <c r="I32" s="224">
        <v>1048</v>
      </c>
      <c r="J32" s="224">
        <v>97</v>
      </c>
      <c r="K32" s="224">
        <v>5225.99</v>
      </c>
      <c r="L32" s="306">
        <f t="shared" si="1"/>
        <v>498.66316793893128</v>
      </c>
      <c r="M32" s="224">
        <f>H32+C32+'ACP_Agri_9(i)'!C32</f>
        <v>842</v>
      </c>
      <c r="N32" s="224">
        <f>I32+D32+'ACP_Agri_9(i)'!D32</f>
        <v>2668</v>
      </c>
      <c r="O32" s="224">
        <f>J32+E32+'ACP_Agri_9(i)'!E32</f>
        <v>2494</v>
      </c>
      <c r="P32" s="224">
        <f>K32+F32+'ACP_Agri_9(i)'!F32</f>
        <v>18256.580000000002</v>
      </c>
      <c r="Q32" s="306">
        <f t="shared" si="2"/>
        <v>684.2796101949026</v>
      </c>
    </row>
    <row r="33" spans="1:19" ht="13.5" customHeight="1" x14ac:dyDescent="0.15">
      <c r="A33" s="210">
        <v>27</v>
      </c>
      <c r="B33" s="142" t="s">
        <v>188</v>
      </c>
      <c r="C33" s="224">
        <v>13</v>
      </c>
      <c r="D33" s="224">
        <v>62</v>
      </c>
      <c r="E33" s="224">
        <v>0</v>
      </c>
      <c r="F33" s="224">
        <v>0</v>
      </c>
      <c r="G33" s="306">
        <f t="shared" si="0"/>
        <v>0</v>
      </c>
      <c r="H33" s="224">
        <v>109</v>
      </c>
      <c r="I33" s="224">
        <v>715</v>
      </c>
      <c r="J33" s="224">
        <v>0</v>
      </c>
      <c r="K33" s="224">
        <v>0</v>
      </c>
      <c r="L33" s="306">
        <f t="shared" si="1"/>
        <v>0</v>
      </c>
      <c r="M33" s="224">
        <f>H33+C33+'ACP_Agri_9(i)'!C33</f>
        <v>261</v>
      </c>
      <c r="N33" s="224">
        <f>I33+D33+'ACP_Agri_9(i)'!D33</f>
        <v>1106</v>
      </c>
      <c r="O33" s="224">
        <f>J33+E33+'ACP_Agri_9(i)'!E33</f>
        <v>98</v>
      </c>
      <c r="P33" s="224">
        <f>K33+F33+'ACP_Agri_9(i)'!F33</f>
        <v>350.75</v>
      </c>
      <c r="Q33" s="306">
        <f t="shared" si="2"/>
        <v>31.713381555153706</v>
      </c>
    </row>
    <row r="34" spans="1:19" ht="13.5" customHeight="1" x14ac:dyDescent="0.15">
      <c r="A34" s="210">
        <v>28</v>
      </c>
      <c r="B34" s="142" t="s">
        <v>67</v>
      </c>
      <c r="C34" s="224">
        <v>1763</v>
      </c>
      <c r="D34" s="224">
        <v>6703</v>
      </c>
      <c r="E34" s="224">
        <v>46</v>
      </c>
      <c r="F34" s="224">
        <v>1470.16</v>
      </c>
      <c r="G34" s="306">
        <f t="shared" si="0"/>
        <v>21.932865880948828</v>
      </c>
      <c r="H34" s="224">
        <v>1047</v>
      </c>
      <c r="I34" s="224">
        <v>7338</v>
      </c>
      <c r="J34" s="224">
        <v>148</v>
      </c>
      <c r="K34" s="224">
        <v>12396.96</v>
      </c>
      <c r="L34" s="306">
        <f t="shared" si="1"/>
        <v>168.94194603434178</v>
      </c>
      <c r="M34" s="224">
        <f>H34+C34+'ACP_Agri_9(i)'!C34</f>
        <v>23585</v>
      </c>
      <c r="N34" s="224">
        <f>I34+D34+'ACP_Agri_9(i)'!D34</f>
        <v>60600</v>
      </c>
      <c r="O34" s="224">
        <f>J34+E34+'ACP_Agri_9(i)'!E34</f>
        <v>16267</v>
      </c>
      <c r="P34" s="224">
        <f>K34+F34+'ACP_Agri_9(i)'!F34</f>
        <v>32264.27</v>
      </c>
      <c r="Q34" s="306">
        <f t="shared" si="2"/>
        <v>53.241369636963697</v>
      </c>
    </row>
    <row r="35" spans="1:19" ht="13.5" customHeight="1" x14ac:dyDescent="0.15">
      <c r="A35" s="210">
        <v>29</v>
      </c>
      <c r="B35" s="142" t="s">
        <v>189</v>
      </c>
      <c r="C35" s="224">
        <v>28</v>
      </c>
      <c r="D35" s="224">
        <v>140</v>
      </c>
      <c r="E35" s="224">
        <v>0</v>
      </c>
      <c r="F35" s="224">
        <v>0</v>
      </c>
      <c r="G35" s="306">
        <f t="shared" si="0"/>
        <v>0</v>
      </c>
      <c r="H35" s="224">
        <v>118</v>
      </c>
      <c r="I35" s="224">
        <v>758</v>
      </c>
      <c r="J35" s="224">
        <v>20</v>
      </c>
      <c r="K35" s="224">
        <v>47</v>
      </c>
      <c r="L35" s="306">
        <f t="shared" si="1"/>
        <v>6.2005277044854878</v>
      </c>
      <c r="M35" s="224">
        <f>H35+C35+'ACP_Agri_9(i)'!C35</f>
        <v>866</v>
      </c>
      <c r="N35" s="224">
        <f>I35+D35+'ACP_Agri_9(i)'!D35</f>
        <v>2492</v>
      </c>
      <c r="O35" s="224">
        <f>J35+E35+'ACP_Agri_9(i)'!E35</f>
        <v>20</v>
      </c>
      <c r="P35" s="224">
        <f>K35+F35+'ACP_Agri_9(i)'!F35</f>
        <v>47</v>
      </c>
      <c r="Q35" s="306">
        <f t="shared" si="2"/>
        <v>1.8860353130016052</v>
      </c>
    </row>
    <row r="36" spans="1:19" ht="13.5" customHeight="1" x14ac:dyDescent="0.15">
      <c r="A36" s="210">
        <v>30</v>
      </c>
      <c r="B36" s="142" t="s">
        <v>190</v>
      </c>
      <c r="C36" s="224">
        <v>184</v>
      </c>
      <c r="D36" s="224">
        <v>1383</v>
      </c>
      <c r="E36" s="224">
        <v>0</v>
      </c>
      <c r="F36" s="224">
        <v>0</v>
      </c>
      <c r="G36" s="306">
        <f t="shared" si="0"/>
        <v>0</v>
      </c>
      <c r="H36" s="224">
        <v>288</v>
      </c>
      <c r="I36" s="224">
        <v>2088</v>
      </c>
      <c r="J36" s="224">
        <v>15</v>
      </c>
      <c r="K36" s="224">
        <v>407</v>
      </c>
      <c r="L36" s="306">
        <f t="shared" si="1"/>
        <v>19.492337164750957</v>
      </c>
      <c r="M36" s="224">
        <f>H36+C36+'ACP_Agri_9(i)'!C36</f>
        <v>8423</v>
      </c>
      <c r="N36" s="224">
        <f>I36+D36+'ACP_Agri_9(i)'!D36</f>
        <v>20721</v>
      </c>
      <c r="O36" s="224">
        <f>J36+E36+'ACP_Agri_9(i)'!E36</f>
        <v>11169</v>
      </c>
      <c r="P36" s="224">
        <f>K36+F36+'ACP_Agri_9(i)'!F36</f>
        <v>8072</v>
      </c>
      <c r="Q36" s="306">
        <f t="shared" si="2"/>
        <v>38.955648858645816</v>
      </c>
    </row>
    <row r="37" spans="1:19" ht="13.5" customHeight="1" x14ac:dyDescent="0.15">
      <c r="A37" s="210">
        <v>31</v>
      </c>
      <c r="B37" s="142" t="s">
        <v>191</v>
      </c>
      <c r="C37" s="224">
        <v>12</v>
      </c>
      <c r="D37" s="224">
        <v>60</v>
      </c>
      <c r="E37" s="224">
        <v>0</v>
      </c>
      <c r="F37" s="224">
        <v>0</v>
      </c>
      <c r="G37" s="306">
        <f t="shared" si="0"/>
        <v>0</v>
      </c>
      <c r="H37" s="224">
        <v>156</v>
      </c>
      <c r="I37" s="224">
        <v>972</v>
      </c>
      <c r="J37" s="224">
        <v>140</v>
      </c>
      <c r="K37" s="224">
        <v>500</v>
      </c>
      <c r="L37" s="306">
        <f t="shared" si="1"/>
        <v>51.440329218106996</v>
      </c>
      <c r="M37" s="224">
        <f>H37+C37+'ACP_Agri_9(i)'!C37</f>
        <v>633</v>
      </c>
      <c r="N37" s="224">
        <f>I37+D37+'ACP_Agri_9(i)'!D37</f>
        <v>2010</v>
      </c>
      <c r="O37" s="224">
        <f>J37+E37+'ACP_Agri_9(i)'!E37</f>
        <v>140</v>
      </c>
      <c r="P37" s="224">
        <f>K37+F37+'ACP_Agri_9(i)'!F37</f>
        <v>500</v>
      </c>
      <c r="Q37" s="306">
        <f t="shared" si="2"/>
        <v>24.875621890547265</v>
      </c>
    </row>
    <row r="38" spans="1:19" ht="13.5" customHeight="1" x14ac:dyDescent="0.15">
      <c r="A38" s="210">
        <v>32</v>
      </c>
      <c r="B38" s="142" t="s">
        <v>71</v>
      </c>
      <c r="C38" s="224">
        <v>27</v>
      </c>
      <c r="D38" s="224">
        <v>143</v>
      </c>
      <c r="E38" s="224">
        <v>0</v>
      </c>
      <c r="F38" s="224">
        <v>0</v>
      </c>
      <c r="G38" s="306">
        <f t="shared" si="0"/>
        <v>0</v>
      </c>
      <c r="H38" s="224">
        <v>82</v>
      </c>
      <c r="I38" s="224">
        <v>429</v>
      </c>
      <c r="J38" s="224">
        <v>0</v>
      </c>
      <c r="K38" s="224">
        <v>0</v>
      </c>
      <c r="L38" s="306">
        <f t="shared" si="1"/>
        <v>0</v>
      </c>
      <c r="M38" s="224">
        <f>H38+C38+'ACP_Agri_9(i)'!C38</f>
        <v>264</v>
      </c>
      <c r="N38" s="224">
        <f>I38+D38+'ACP_Agri_9(i)'!D38</f>
        <v>1270</v>
      </c>
      <c r="O38" s="224">
        <f>J38+E38+'ACP_Agri_9(i)'!E38</f>
        <v>0</v>
      </c>
      <c r="P38" s="224">
        <f>K38+F38+'ACP_Agri_9(i)'!F38</f>
        <v>0</v>
      </c>
      <c r="Q38" s="306">
        <f t="shared" si="2"/>
        <v>0</v>
      </c>
    </row>
    <row r="39" spans="1:19" ht="13.5" customHeight="1" x14ac:dyDescent="0.15">
      <c r="A39" s="210">
        <v>33</v>
      </c>
      <c r="B39" s="142" t="s">
        <v>192</v>
      </c>
      <c r="C39" s="224">
        <v>0</v>
      </c>
      <c r="D39" s="224">
        <v>0</v>
      </c>
      <c r="E39" s="224">
        <v>0</v>
      </c>
      <c r="F39" s="224">
        <v>0</v>
      </c>
      <c r="G39" s="306">
        <v>0</v>
      </c>
      <c r="H39" s="224">
        <v>0</v>
      </c>
      <c r="I39" s="224">
        <v>0</v>
      </c>
      <c r="J39" s="224">
        <v>0</v>
      </c>
      <c r="K39" s="224">
        <v>0</v>
      </c>
      <c r="L39" s="306">
        <v>0</v>
      </c>
      <c r="M39" s="224">
        <f>H39+C39+'ACP_Agri_9(i)'!C39</f>
        <v>656</v>
      </c>
      <c r="N39" s="224">
        <f>I39+D39+'ACP_Agri_9(i)'!D39</f>
        <v>1640</v>
      </c>
      <c r="O39" s="224">
        <f>J39+E39+'ACP_Agri_9(i)'!E39</f>
        <v>324</v>
      </c>
      <c r="P39" s="224">
        <f>K39+F39+'ACP_Agri_9(i)'!F39</f>
        <v>503</v>
      </c>
      <c r="Q39" s="306">
        <f t="shared" si="2"/>
        <v>30.670731707317074</v>
      </c>
    </row>
    <row r="40" spans="1:19" ht="13.5" customHeight="1" x14ac:dyDescent="0.15">
      <c r="A40" s="210">
        <v>34</v>
      </c>
      <c r="B40" s="142" t="s">
        <v>70</v>
      </c>
      <c r="C40" s="224">
        <v>737</v>
      </c>
      <c r="D40" s="224">
        <v>3578</v>
      </c>
      <c r="E40" s="224">
        <v>1</v>
      </c>
      <c r="F40" s="224">
        <v>78</v>
      </c>
      <c r="G40" s="306">
        <f t="shared" si="0"/>
        <v>2.1799888205701508</v>
      </c>
      <c r="H40" s="224">
        <v>601</v>
      </c>
      <c r="I40" s="224">
        <v>4447</v>
      </c>
      <c r="J40" s="224">
        <v>34</v>
      </c>
      <c r="K40" s="224">
        <v>4776</v>
      </c>
      <c r="L40" s="306">
        <f t="shared" si="1"/>
        <v>107.39824600854509</v>
      </c>
      <c r="M40" s="224">
        <f>H40+C40+'ACP_Agri_9(i)'!C40</f>
        <v>9458</v>
      </c>
      <c r="N40" s="224">
        <f>I40+D40+'ACP_Agri_9(i)'!D40</f>
        <v>26987</v>
      </c>
      <c r="O40" s="224">
        <f>J40+E40+'ACP_Agri_9(i)'!E40</f>
        <v>2265</v>
      </c>
      <c r="P40" s="224">
        <f>K40+F40+'ACP_Agri_9(i)'!F40</f>
        <v>7104</v>
      </c>
      <c r="Q40" s="306">
        <f t="shared" si="2"/>
        <v>26.323785526364546</v>
      </c>
    </row>
    <row r="41" spans="1:19" s="43" customFormat="1" ht="13.5" customHeight="1" x14ac:dyDescent="0.15">
      <c r="A41" s="377"/>
      <c r="B41" s="139" t="s">
        <v>213</v>
      </c>
      <c r="C41" s="285">
        <f>SUM(C19:C40)</f>
        <v>16032</v>
      </c>
      <c r="D41" s="285">
        <f t="shared" ref="D41:K41" si="4">SUM(D19:D40)</f>
        <v>85398</v>
      </c>
      <c r="E41" s="285">
        <f t="shared" si="4"/>
        <v>326</v>
      </c>
      <c r="F41" s="285">
        <f t="shared" si="4"/>
        <v>6796.26</v>
      </c>
      <c r="G41" s="242">
        <f t="shared" si="0"/>
        <v>7.9583362608023611</v>
      </c>
      <c r="H41" s="285">
        <f t="shared" si="4"/>
        <v>17534</v>
      </c>
      <c r="I41" s="285">
        <f t="shared" si="4"/>
        <v>113549</v>
      </c>
      <c r="J41" s="285">
        <f t="shared" si="4"/>
        <v>5386</v>
      </c>
      <c r="K41" s="285">
        <f t="shared" si="4"/>
        <v>96212.210000000021</v>
      </c>
      <c r="L41" s="242">
        <f t="shared" si="1"/>
        <v>84.731886674475348</v>
      </c>
      <c r="M41" s="285">
        <f>H41+C41+'ACP_Agri_9(i)'!C41</f>
        <v>511229</v>
      </c>
      <c r="N41" s="285">
        <f>I41+D41+'ACP_Agri_9(i)'!D41</f>
        <v>1286378</v>
      </c>
      <c r="O41" s="285">
        <f>J41+E41+'ACP_Agri_9(i)'!E41</f>
        <v>264781</v>
      </c>
      <c r="P41" s="285">
        <f>K41+F41+'ACP_Agri_9(i)'!F41</f>
        <v>500244.0400000001</v>
      </c>
      <c r="Q41" s="242">
        <f t="shared" si="2"/>
        <v>38.887795033808111</v>
      </c>
      <c r="R41" s="45"/>
      <c r="S41" s="45"/>
    </row>
    <row r="42" spans="1:19" s="43" customFormat="1" ht="13.5" customHeight="1" x14ac:dyDescent="0.15">
      <c r="A42" s="377"/>
      <c r="B42" s="139" t="s">
        <v>311</v>
      </c>
      <c r="C42" s="285">
        <f>C41+C18</f>
        <v>80542</v>
      </c>
      <c r="D42" s="285">
        <f t="shared" ref="D42:K42" si="5">D41+D18</f>
        <v>448071</v>
      </c>
      <c r="E42" s="285">
        <f t="shared" si="5"/>
        <v>949</v>
      </c>
      <c r="F42" s="285">
        <f t="shared" si="5"/>
        <v>21350.16</v>
      </c>
      <c r="G42" s="242">
        <f t="shared" si="0"/>
        <v>4.7649055618417613</v>
      </c>
      <c r="H42" s="285">
        <f t="shared" si="5"/>
        <v>89123</v>
      </c>
      <c r="I42" s="285">
        <f t="shared" si="5"/>
        <v>554511</v>
      </c>
      <c r="J42" s="285">
        <f t="shared" si="5"/>
        <v>9992</v>
      </c>
      <c r="K42" s="285">
        <f t="shared" si="5"/>
        <v>247493.21627000003</v>
      </c>
      <c r="L42" s="242">
        <f t="shared" si="1"/>
        <v>44.632697326112563</v>
      </c>
      <c r="M42" s="285">
        <f>H42+C42+'ACP_Agri_9(i)'!C42</f>
        <v>3918937</v>
      </c>
      <c r="N42" s="285">
        <f>I42+D42+'ACP_Agri_9(i)'!D42</f>
        <v>9713087</v>
      </c>
      <c r="O42" s="285">
        <f>J42+E42+'ACP_Agri_9(i)'!E42</f>
        <v>784210</v>
      </c>
      <c r="P42" s="285">
        <f>K42+F42+'ACP_Agri_9(i)'!F42</f>
        <v>1594340.3978900001</v>
      </c>
      <c r="Q42" s="242">
        <f t="shared" si="2"/>
        <v>16.414353108234284</v>
      </c>
      <c r="R42" s="45"/>
      <c r="S42" s="45"/>
    </row>
    <row r="43" spans="1:19" ht="13.5" customHeight="1" x14ac:dyDescent="0.15">
      <c r="A43" s="210">
        <v>35</v>
      </c>
      <c r="B43" s="142" t="s">
        <v>193</v>
      </c>
      <c r="C43" s="224">
        <v>2673</v>
      </c>
      <c r="D43" s="224">
        <v>23074</v>
      </c>
      <c r="E43" s="224">
        <v>44</v>
      </c>
      <c r="F43" s="224">
        <v>3419</v>
      </c>
      <c r="G43" s="306">
        <f t="shared" si="0"/>
        <v>14.817543555517032</v>
      </c>
      <c r="H43" s="224">
        <v>5562</v>
      </c>
      <c r="I43" s="224">
        <v>34563</v>
      </c>
      <c r="J43" s="224">
        <v>7</v>
      </c>
      <c r="K43" s="224">
        <v>16</v>
      </c>
      <c r="L43" s="306">
        <f t="shared" si="1"/>
        <v>4.6292277869397915E-2</v>
      </c>
      <c r="M43" s="224">
        <f>H43+C43+'ACP_Agri_9(i)'!C43</f>
        <v>461131</v>
      </c>
      <c r="N43" s="224">
        <f>I43+D43+'ACP_Agri_9(i)'!D43</f>
        <v>1037347</v>
      </c>
      <c r="O43" s="224">
        <f>J43+E43+'ACP_Agri_9(i)'!E43</f>
        <v>55914</v>
      </c>
      <c r="P43" s="224">
        <f>K43+F43+'ACP_Agri_9(i)'!F43</f>
        <v>69308</v>
      </c>
      <c r="Q43" s="306">
        <f t="shared" si="2"/>
        <v>6.6812744433636961</v>
      </c>
    </row>
    <row r="44" spans="1:19" ht="13.5" customHeight="1" x14ac:dyDescent="0.15">
      <c r="A44" s="210">
        <v>36</v>
      </c>
      <c r="B44" s="142" t="s">
        <v>382</v>
      </c>
      <c r="C44" s="224">
        <v>4445</v>
      </c>
      <c r="D44" s="224">
        <v>23279</v>
      </c>
      <c r="E44" s="224">
        <v>3</v>
      </c>
      <c r="F44" s="224">
        <v>562.5</v>
      </c>
      <c r="G44" s="306">
        <f t="shared" si="0"/>
        <v>2.4163409081146097</v>
      </c>
      <c r="H44" s="224">
        <v>4591</v>
      </c>
      <c r="I44" s="224">
        <v>28265</v>
      </c>
      <c r="J44" s="224">
        <v>2</v>
      </c>
      <c r="K44" s="224">
        <v>33.25</v>
      </c>
      <c r="L44" s="306">
        <f t="shared" si="1"/>
        <v>0.11763665310454625</v>
      </c>
      <c r="M44" s="224">
        <f>H44+C44+'ACP_Agri_9(i)'!C44</f>
        <v>318052</v>
      </c>
      <c r="N44" s="224">
        <f>I44+D44+'ACP_Agri_9(i)'!D44</f>
        <v>706213</v>
      </c>
      <c r="O44" s="224">
        <f>J44+E44+'ACP_Agri_9(i)'!E44</f>
        <v>113243</v>
      </c>
      <c r="P44" s="224">
        <f>K44+F44+'ACP_Agri_9(i)'!F44</f>
        <v>199806.97</v>
      </c>
      <c r="Q44" s="306">
        <f t="shared" si="2"/>
        <v>28.292734628221229</v>
      </c>
    </row>
    <row r="45" spans="1:19" s="43" customFormat="1" ht="13.5" customHeight="1" x14ac:dyDescent="0.15">
      <c r="A45" s="377"/>
      <c r="B45" s="139" t="s">
        <v>216</v>
      </c>
      <c r="C45" s="285">
        <f>SUM(C43:C44)</f>
        <v>7118</v>
      </c>
      <c r="D45" s="285">
        <f t="shared" ref="D45:K45" si="6">SUM(D43:D44)</f>
        <v>46353</v>
      </c>
      <c r="E45" s="285">
        <f t="shared" si="6"/>
        <v>47</v>
      </c>
      <c r="F45" s="285">
        <f t="shared" si="6"/>
        <v>3981.5</v>
      </c>
      <c r="G45" s="242">
        <f t="shared" si="0"/>
        <v>8.5895195564472626</v>
      </c>
      <c r="H45" s="285">
        <f t="shared" si="6"/>
        <v>10153</v>
      </c>
      <c r="I45" s="285">
        <f t="shared" si="6"/>
        <v>62828</v>
      </c>
      <c r="J45" s="285">
        <f t="shared" si="6"/>
        <v>9</v>
      </c>
      <c r="K45" s="285">
        <f t="shared" si="6"/>
        <v>49.25</v>
      </c>
      <c r="L45" s="242">
        <f t="shared" si="1"/>
        <v>7.8388616540396E-2</v>
      </c>
      <c r="M45" s="285">
        <f>H45+C45+'ACP_Agri_9(i)'!C45</f>
        <v>779183</v>
      </c>
      <c r="N45" s="285">
        <f>I45+D45+'ACP_Agri_9(i)'!D45</f>
        <v>1743560</v>
      </c>
      <c r="O45" s="285">
        <f>J45+E45+'ACP_Agri_9(i)'!E45</f>
        <v>169157</v>
      </c>
      <c r="P45" s="285">
        <f>K45+F45+'ACP_Agri_9(i)'!F45</f>
        <v>269114.96999999997</v>
      </c>
      <c r="Q45" s="242">
        <f t="shared" si="2"/>
        <v>15.434798343618802</v>
      </c>
      <c r="R45" s="45"/>
      <c r="S45" s="45"/>
    </row>
    <row r="46" spans="1:19" ht="12.75" customHeight="1" x14ac:dyDescent="0.15">
      <c r="A46" s="210">
        <v>37</v>
      </c>
      <c r="B46" s="142" t="s">
        <v>312</v>
      </c>
      <c r="C46" s="224">
        <v>1603</v>
      </c>
      <c r="D46" s="224">
        <v>7613</v>
      </c>
      <c r="E46" s="224">
        <v>0</v>
      </c>
      <c r="F46" s="224">
        <v>0</v>
      </c>
      <c r="G46" s="306">
        <f t="shared" si="0"/>
        <v>0</v>
      </c>
      <c r="H46" s="224">
        <v>4498</v>
      </c>
      <c r="I46" s="224">
        <v>38140</v>
      </c>
      <c r="J46" s="224">
        <v>0</v>
      </c>
      <c r="K46" s="224">
        <v>0</v>
      </c>
      <c r="L46" s="306">
        <f t="shared" si="1"/>
        <v>0</v>
      </c>
      <c r="M46" s="224">
        <f>H46+C46+'ACP_Agri_9(i)'!C46</f>
        <v>1546373</v>
      </c>
      <c r="N46" s="224">
        <f>I46+D46+'ACP_Agri_9(i)'!D46</f>
        <v>3632280</v>
      </c>
      <c r="O46" s="224">
        <f>J46+E46+'ACP_Agri_9(i)'!E46</f>
        <v>1207769</v>
      </c>
      <c r="P46" s="224">
        <f>K46+F46+'ACP_Agri_9(i)'!F46</f>
        <v>812230</v>
      </c>
      <c r="Q46" s="306">
        <f t="shared" si="2"/>
        <v>22.361436893631549</v>
      </c>
    </row>
    <row r="47" spans="1:19" s="43" customFormat="1" ht="13.5" customHeight="1" x14ac:dyDescent="0.15">
      <c r="A47" s="377"/>
      <c r="B47" s="139" t="s">
        <v>214</v>
      </c>
      <c r="C47" s="285">
        <f>C46</f>
        <v>1603</v>
      </c>
      <c r="D47" s="285">
        <f t="shared" ref="D47:K47" si="7">D46</f>
        <v>7613</v>
      </c>
      <c r="E47" s="285">
        <f t="shared" si="7"/>
        <v>0</v>
      </c>
      <c r="F47" s="285">
        <f t="shared" si="7"/>
        <v>0</v>
      </c>
      <c r="G47" s="242">
        <f t="shared" si="0"/>
        <v>0</v>
      </c>
      <c r="H47" s="285">
        <f t="shared" si="7"/>
        <v>4498</v>
      </c>
      <c r="I47" s="285">
        <f t="shared" si="7"/>
        <v>38140</v>
      </c>
      <c r="J47" s="285">
        <f t="shared" si="7"/>
        <v>0</v>
      </c>
      <c r="K47" s="285">
        <f t="shared" si="7"/>
        <v>0</v>
      </c>
      <c r="L47" s="242">
        <f t="shared" si="1"/>
        <v>0</v>
      </c>
      <c r="M47" s="285">
        <f>H47+C47+'ACP_Agri_9(i)'!C47</f>
        <v>1546373</v>
      </c>
      <c r="N47" s="285">
        <f>I47+D47+'ACP_Agri_9(i)'!D47</f>
        <v>3632280</v>
      </c>
      <c r="O47" s="285">
        <f>J47+E47+'ACP_Agri_9(i)'!E47</f>
        <v>1207769</v>
      </c>
      <c r="P47" s="285">
        <f>K47+F47+'ACP_Agri_9(i)'!F47</f>
        <v>812230</v>
      </c>
      <c r="Q47" s="242">
        <f t="shared" si="2"/>
        <v>22.361436893631549</v>
      </c>
      <c r="R47" s="45"/>
      <c r="S47" s="45"/>
    </row>
    <row r="48" spans="1:19" ht="13.5" customHeight="1" x14ac:dyDescent="0.15">
      <c r="A48" s="210">
        <v>38</v>
      </c>
      <c r="B48" s="142" t="s">
        <v>304</v>
      </c>
      <c r="C48" s="224">
        <v>641</v>
      </c>
      <c r="D48" s="224">
        <v>3795</v>
      </c>
      <c r="E48" s="224">
        <v>2</v>
      </c>
      <c r="F48" s="224">
        <v>283.02</v>
      </c>
      <c r="G48" s="306">
        <f t="shared" si="0"/>
        <v>7.4577075098814225</v>
      </c>
      <c r="H48" s="224">
        <v>860</v>
      </c>
      <c r="I48" s="224">
        <v>5613</v>
      </c>
      <c r="J48" s="224">
        <v>55</v>
      </c>
      <c r="K48" s="224">
        <v>733.14</v>
      </c>
      <c r="L48" s="306">
        <f t="shared" si="1"/>
        <v>13.061464457509354</v>
      </c>
      <c r="M48" s="224">
        <f>H48+C48+'ACP_Agri_9(i)'!C48</f>
        <v>13608</v>
      </c>
      <c r="N48" s="224">
        <f>I48+D48+'ACP_Agri_9(i)'!D48</f>
        <v>33529</v>
      </c>
      <c r="O48" s="224">
        <f>J48+E48+'ACP_Agri_9(i)'!E48</f>
        <v>2038</v>
      </c>
      <c r="P48" s="224">
        <f>K48+F48+'ACP_Agri_9(i)'!F48</f>
        <v>5751</v>
      </c>
      <c r="Q48" s="306">
        <f t="shared" si="2"/>
        <v>17.15231590563393</v>
      </c>
    </row>
    <row r="49" spans="1:19" ht="13.5" customHeight="1" x14ac:dyDescent="0.15">
      <c r="A49" s="210">
        <v>39</v>
      </c>
      <c r="B49" s="142" t="s">
        <v>305</v>
      </c>
      <c r="C49" s="224">
        <v>346</v>
      </c>
      <c r="D49" s="224">
        <v>2084</v>
      </c>
      <c r="E49" s="224">
        <v>0</v>
      </c>
      <c r="F49" s="224">
        <v>0</v>
      </c>
      <c r="G49" s="306">
        <f t="shared" si="0"/>
        <v>0</v>
      </c>
      <c r="H49" s="224">
        <v>434</v>
      </c>
      <c r="I49" s="224">
        <v>3089</v>
      </c>
      <c r="J49" s="224">
        <v>0</v>
      </c>
      <c r="K49" s="224">
        <v>0</v>
      </c>
      <c r="L49" s="306">
        <f t="shared" si="1"/>
        <v>0</v>
      </c>
      <c r="M49" s="224">
        <f>H49+C49+'ACP_Agri_9(i)'!C49</f>
        <v>6447</v>
      </c>
      <c r="N49" s="224">
        <f>I49+D49+'ACP_Agri_9(i)'!D49</f>
        <v>15961</v>
      </c>
      <c r="O49" s="224">
        <f>J49+E49+'ACP_Agri_9(i)'!E49</f>
        <v>798</v>
      </c>
      <c r="P49" s="224">
        <f>K49+F49+'ACP_Agri_9(i)'!F49</f>
        <v>370</v>
      </c>
      <c r="Q49" s="306">
        <f t="shared" si="2"/>
        <v>2.3181504918238205</v>
      </c>
    </row>
    <row r="50" spans="1:19" ht="13.5" customHeight="1" x14ac:dyDescent="0.15">
      <c r="A50" s="210">
        <v>40</v>
      </c>
      <c r="B50" s="142" t="s">
        <v>383</v>
      </c>
      <c r="C50" s="224">
        <v>94</v>
      </c>
      <c r="D50" s="224">
        <v>389</v>
      </c>
      <c r="E50" s="224">
        <v>0</v>
      </c>
      <c r="F50" s="224">
        <v>0</v>
      </c>
      <c r="G50" s="306">
        <f t="shared" si="0"/>
        <v>0</v>
      </c>
      <c r="H50" s="224">
        <v>62</v>
      </c>
      <c r="I50" s="224">
        <v>278</v>
      </c>
      <c r="J50" s="224">
        <v>3371</v>
      </c>
      <c r="K50" s="224">
        <v>1395.31</v>
      </c>
      <c r="L50" s="306">
        <f t="shared" si="1"/>
        <v>501.91007194244605</v>
      </c>
      <c r="M50" s="224">
        <f>H50+C50+'ACP_Agri_9(i)'!C50</f>
        <v>1572</v>
      </c>
      <c r="N50" s="224">
        <f>I50+D50+'ACP_Agri_9(i)'!D50</f>
        <v>3325</v>
      </c>
      <c r="O50" s="224">
        <f>J50+E50+'ACP_Agri_9(i)'!E50</f>
        <v>3371</v>
      </c>
      <c r="P50" s="224">
        <f>K50+F50+'ACP_Agri_9(i)'!F50</f>
        <v>1395.31</v>
      </c>
      <c r="Q50" s="306">
        <f t="shared" si="2"/>
        <v>41.964210526315789</v>
      </c>
    </row>
    <row r="51" spans="1:19" ht="13.5" customHeight="1" x14ac:dyDescent="0.15">
      <c r="A51" s="210">
        <v>41</v>
      </c>
      <c r="B51" s="142" t="s">
        <v>306</v>
      </c>
      <c r="C51" s="224">
        <v>94</v>
      </c>
      <c r="D51" s="224">
        <v>410</v>
      </c>
      <c r="E51" s="224">
        <v>0</v>
      </c>
      <c r="F51" s="224">
        <v>0</v>
      </c>
      <c r="G51" s="306">
        <f t="shared" si="0"/>
        <v>0</v>
      </c>
      <c r="H51" s="224">
        <v>13</v>
      </c>
      <c r="I51" s="224">
        <v>85</v>
      </c>
      <c r="J51" s="224">
        <v>0</v>
      </c>
      <c r="K51" s="224">
        <v>0</v>
      </c>
      <c r="L51" s="306">
        <f t="shared" si="1"/>
        <v>0</v>
      </c>
      <c r="M51" s="224">
        <f>H51+C51+'ACP_Agri_9(i)'!C51</f>
        <v>15821</v>
      </c>
      <c r="N51" s="224">
        <f>I51+D51+'ACP_Agri_9(i)'!D51</f>
        <v>36275</v>
      </c>
      <c r="O51" s="224">
        <f>J51+E51+'ACP_Agri_9(i)'!E51</f>
        <v>149741</v>
      </c>
      <c r="P51" s="224">
        <f>K51+F51+'ACP_Agri_9(i)'!F51</f>
        <v>27417.09</v>
      </c>
      <c r="Q51" s="306">
        <f t="shared" si="2"/>
        <v>75.58122674017919</v>
      </c>
    </row>
    <row r="52" spans="1:19" ht="13.5" customHeight="1" x14ac:dyDescent="0.15">
      <c r="A52" s="210">
        <v>42</v>
      </c>
      <c r="B52" s="142" t="s">
        <v>307</v>
      </c>
      <c r="C52" s="224">
        <v>179</v>
      </c>
      <c r="D52" s="224">
        <v>1188</v>
      </c>
      <c r="E52" s="224">
        <v>0</v>
      </c>
      <c r="F52" s="224">
        <v>0</v>
      </c>
      <c r="G52" s="306">
        <f t="shared" si="0"/>
        <v>0</v>
      </c>
      <c r="H52" s="224">
        <v>272</v>
      </c>
      <c r="I52" s="224">
        <v>1995</v>
      </c>
      <c r="J52" s="224">
        <v>0</v>
      </c>
      <c r="K52" s="224">
        <v>0</v>
      </c>
      <c r="L52" s="306">
        <f t="shared" si="1"/>
        <v>0</v>
      </c>
      <c r="M52" s="224">
        <f>H52+C52+'ACP_Agri_9(i)'!C52</f>
        <v>3066</v>
      </c>
      <c r="N52" s="224">
        <f>I52+D52+'ACP_Agri_9(i)'!D52</f>
        <v>9597</v>
      </c>
      <c r="O52" s="224">
        <f>J52+E52+'ACP_Agri_9(i)'!E52</f>
        <v>4190</v>
      </c>
      <c r="P52" s="224">
        <f>K52+F52+'ACP_Agri_9(i)'!F52</f>
        <v>1718</v>
      </c>
      <c r="Q52" s="306">
        <f t="shared" si="2"/>
        <v>17.901427529436283</v>
      </c>
    </row>
    <row r="53" spans="1:19" ht="13.5" customHeight="1" x14ac:dyDescent="0.15">
      <c r="A53" s="210">
        <v>43</v>
      </c>
      <c r="B53" s="142" t="s">
        <v>308</v>
      </c>
      <c r="C53" s="224">
        <v>37</v>
      </c>
      <c r="D53" s="224">
        <v>187</v>
      </c>
      <c r="E53" s="224">
        <v>2</v>
      </c>
      <c r="F53" s="224">
        <v>10.08</v>
      </c>
      <c r="G53" s="306">
        <f t="shared" si="0"/>
        <v>5.3903743315508024</v>
      </c>
      <c r="H53" s="224">
        <v>294</v>
      </c>
      <c r="I53" s="224">
        <v>2161</v>
      </c>
      <c r="J53" s="224">
        <v>291</v>
      </c>
      <c r="K53" s="224">
        <v>47.89</v>
      </c>
      <c r="L53" s="306">
        <f t="shared" si="1"/>
        <v>2.2161036557149467</v>
      </c>
      <c r="M53" s="224">
        <f>H53+C53+'ACP_Agri_9(i)'!C53</f>
        <v>1617</v>
      </c>
      <c r="N53" s="224">
        <f>I53+D53+'ACP_Agri_9(i)'!D53</f>
        <v>5244</v>
      </c>
      <c r="O53" s="224">
        <f>J53+E53+'ACP_Agri_9(i)'!E53</f>
        <v>3446</v>
      </c>
      <c r="P53" s="224">
        <f>K53+F53+'ACP_Agri_9(i)'!F53</f>
        <v>760.30000000000007</v>
      </c>
      <c r="Q53" s="306">
        <f t="shared" si="2"/>
        <v>14.498474446987032</v>
      </c>
    </row>
    <row r="54" spans="1:19" ht="13.5" customHeight="1" x14ac:dyDescent="0.15">
      <c r="A54" s="210">
        <v>44</v>
      </c>
      <c r="B54" s="142" t="s">
        <v>300</v>
      </c>
      <c r="C54" s="224">
        <v>1</v>
      </c>
      <c r="D54" s="224">
        <v>4</v>
      </c>
      <c r="E54" s="224">
        <v>0</v>
      </c>
      <c r="F54" s="224">
        <v>0</v>
      </c>
      <c r="G54" s="306">
        <f t="shared" si="0"/>
        <v>0</v>
      </c>
      <c r="H54" s="224">
        <v>208</v>
      </c>
      <c r="I54" s="224">
        <v>1708</v>
      </c>
      <c r="J54" s="224">
        <v>0</v>
      </c>
      <c r="K54" s="224">
        <v>0</v>
      </c>
      <c r="L54" s="306">
        <f t="shared" si="1"/>
        <v>0</v>
      </c>
      <c r="M54" s="224">
        <f>H54+C54+'ACP_Agri_9(i)'!C54</f>
        <v>779</v>
      </c>
      <c r="N54" s="224">
        <f>I54+D54+'ACP_Agri_9(i)'!D54</f>
        <v>3540</v>
      </c>
      <c r="O54" s="224">
        <f>J54+E54+'ACP_Agri_9(i)'!E54</f>
        <v>1620</v>
      </c>
      <c r="P54" s="224">
        <f>K54+F54+'ACP_Agri_9(i)'!F54</f>
        <v>668.6</v>
      </c>
      <c r="Q54" s="306">
        <f t="shared" si="2"/>
        <v>18.887005649717516</v>
      </c>
    </row>
    <row r="55" spans="1:19" ht="13.5" customHeight="1" x14ac:dyDescent="0.15">
      <c r="A55" s="210">
        <v>45</v>
      </c>
      <c r="B55" s="142" t="s">
        <v>309</v>
      </c>
      <c r="C55" s="224">
        <v>37</v>
      </c>
      <c r="D55" s="224">
        <v>431</v>
      </c>
      <c r="E55" s="224">
        <v>0</v>
      </c>
      <c r="F55" s="224">
        <v>0</v>
      </c>
      <c r="G55" s="306">
        <f t="shared" si="0"/>
        <v>0</v>
      </c>
      <c r="H55" s="224">
        <v>348</v>
      </c>
      <c r="I55" s="224">
        <v>2548</v>
      </c>
      <c r="J55" s="224">
        <v>0</v>
      </c>
      <c r="K55" s="224">
        <v>0</v>
      </c>
      <c r="L55" s="306">
        <f t="shared" si="1"/>
        <v>0</v>
      </c>
      <c r="M55" s="224">
        <f>H55+C55+'ACP_Agri_9(i)'!C55</f>
        <v>6106</v>
      </c>
      <c r="N55" s="224">
        <f>I55+D55+'ACP_Agri_9(i)'!D55</f>
        <v>9280</v>
      </c>
      <c r="O55" s="224">
        <f>J55+E55+'ACP_Agri_9(i)'!E55</f>
        <v>2848</v>
      </c>
      <c r="P55" s="224">
        <f>K55+F55+'ACP_Agri_9(i)'!F55</f>
        <v>1264</v>
      </c>
      <c r="Q55" s="306">
        <f t="shared" si="2"/>
        <v>13.620689655172415</v>
      </c>
    </row>
    <row r="56" spans="1:19" s="43" customFormat="1" ht="13.5" customHeight="1" x14ac:dyDescent="0.15">
      <c r="A56" s="377"/>
      <c r="B56" s="139" t="s">
        <v>310</v>
      </c>
      <c r="C56" s="285">
        <f>SUM(C48:C55)</f>
        <v>1429</v>
      </c>
      <c r="D56" s="285">
        <f t="shared" ref="D56:K56" si="8">SUM(D48:D55)</f>
        <v>8488</v>
      </c>
      <c r="E56" s="285">
        <f t="shared" si="8"/>
        <v>4</v>
      </c>
      <c r="F56" s="285">
        <f t="shared" si="8"/>
        <v>293.09999999999997</v>
      </c>
      <c r="G56" s="242">
        <f t="shared" si="0"/>
        <v>3.4531102733270496</v>
      </c>
      <c r="H56" s="285">
        <f t="shared" si="8"/>
        <v>2491</v>
      </c>
      <c r="I56" s="285">
        <f t="shared" si="8"/>
        <v>17477</v>
      </c>
      <c r="J56" s="285">
        <f t="shared" si="8"/>
        <v>3717</v>
      </c>
      <c r="K56" s="285">
        <f t="shared" si="8"/>
        <v>2176.3399999999997</v>
      </c>
      <c r="L56" s="242">
        <f t="shared" si="1"/>
        <v>12.452594838931166</v>
      </c>
      <c r="M56" s="285">
        <f>H56+C56+'ACP_Agri_9(i)'!C56</f>
        <v>49016</v>
      </c>
      <c r="N56" s="285">
        <f>I56+D56+'ACP_Agri_9(i)'!D56</f>
        <v>116751</v>
      </c>
      <c r="O56" s="285">
        <f>J56+E56+'ACP_Agri_9(i)'!E56</f>
        <v>168052</v>
      </c>
      <c r="P56" s="285">
        <f>K56+F56+'ACP_Agri_9(i)'!F56</f>
        <v>39344.300000000003</v>
      </c>
      <c r="Q56" s="242">
        <f t="shared" si="2"/>
        <v>33.699325915837981</v>
      </c>
      <c r="R56" s="45"/>
      <c r="S56" s="45"/>
    </row>
    <row r="57" spans="1:19" s="43" customFormat="1" ht="13.5" customHeight="1" x14ac:dyDescent="0.15">
      <c r="A57" s="139"/>
      <c r="B57" s="139" t="s">
        <v>0</v>
      </c>
      <c r="C57" s="285">
        <f>C56+C47+C45+C42</f>
        <v>90692</v>
      </c>
      <c r="D57" s="285">
        <f t="shared" ref="D57:K57" si="9">D56+D47+D45+D42</f>
        <v>510525</v>
      </c>
      <c r="E57" s="285">
        <f t="shared" si="9"/>
        <v>1000</v>
      </c>
      <c r="F57" s="285">
        <f t="shared" si="9"/>
        <v>25624.760000000002</v>
      </c>
      <c r="G57" s="242">
        <f t="shared" si="0"/>
        <v>5.0192958229273783</v>
      </c>
      <c r="H57" s="285">
        <f t="shared" si="9"/>
        <v>106265</v>
      </c>
      <c r="I57" s="285">
        <f t="shared" si="9"/>
        <v>672956</v>
      </c>
      <c r="J57" s="285">
        <f t="shared" si="9"/>
        <v>13718</v>
      </c>
      <c r="K57" s="285">
        <f t="shared" si="9"/>
        <v>249718.80627000003</v>
      </c>
      <c r="L57" s="242">
        <f t="shared" si="1"/>
        <v>37.107746460392661</v>
      </c>
      <c r="M57" s="285">
        <f>H57+C57+'ACP_Agri_9(i)'!C57</f>
        <v>6293509</v>
      </c>
      <c r="N57" s="285">
        <f>I57+D57+'ACP_Agri_9(i)'!D57</f>
        <v>15205678</v>
      </c>
      <c r="O57" s="285">
        <f>J57+E57+'ACP_Agri_9(i)'!E57</f>
        <v>2329188</v>
      </c>
      <c r="P57" s="285">
        <f>K57+F57+'ACP_Agri_9(i)'!F57</f>
        <v>2715029.6678899997</v>
      </c>
      <c r="Q57" s="242">
        <f t="shared" si="2"/>
        <v>17.855367369281396</v>
      </c>
      <c r="R57" s="45"/>
      <c r="S57" s="45"/>
    </row>
    <row r="58" spans="1:19" x14ac:dyDescent="0.2">
      <c r="J58" s="46" t="s">
        <v>1078</v>
      </c>
    </row>
  </sheetData>
  <autoFilter ref="M5:P56" xr:uid="{00000000-0009-0000-0000-00000A000000}"/>
  <mergeCells count="15">
    <mergeCell ref="A1:Q1"/>
    <mergeCell ref="Q4:Q5"/>
    <mergeCell ref="M3:Q3"/>
    <mergeCell ref="A3:A5"/>
    <mergeCell ref="B3:B5"/>
    <mergeCell ref="G4:G5"/>
    <mergeCell ref="C3:G3"/>
    <mergeCell ref="L4:L5"/>
    <mergeCell ref="H3:L3"/>
    <mergeCell ref="E4:F4"/>
    <mergeCell ref="H4:I4"/>
    <mergeCell ref="O4:P4"/>
    <mergeCell ref="C4:D4"/>
    <mergeCell ref="J4:K4"/>
    <mergeCell ref="M4:N4"/>
  </mergeCells>
  <conditionalFormatting sqref="R1:S1048576">
    <cfRule type="cellIs" dxfId="26" priority="1" operator="greaterThan">
      <formula>100</formula>
    </cfRule>
  </conditionalFormatting>
  <pageMargins left="0.7" right="0" top="1" bottom="0.5" header="0.3" footer="0.3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U62"/>
  <sheetViews>
    <sheetView view="pageBreakPreview" zoomScale="60" zoomScaleNormal="9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Q95" sqref="Q95"/>
    </sheetView>
  </sheetViews>
  <sheetFormatPr baseColWidth="10" defaultColWidth="4.3984375" defaultRowHeight="14" x14ac:dyDescent="0.2"/>
  <cols>
    <col min="1" max="1" width="4.59765625" style="106" bestFit="1" customWidth="1"/>
    <col min="2" max="2" width="30.796875" style="48" customWidth="1"/>
    <col min="3" max="3" width="10.796875" style="51" bestFit="1" customWidth="1"/>
    <col min="4" max="4" width="11.19921875" style="51" bestFit="1" customWidth="1"/>
    <col min="5" max="5" width="10.59765625" style="51" bestFit="1" customWidth="1"/>
    <col min="6" max="6" width="10.796875" style="51" bestFit="1" customWidth="1"/>
    <col min="7" max="7" width="8" style="51" customWidth="1"/>
    <col min="8" max="8" width="9.796875" style="51" customWidth="1"/>
    <col min="9" max="9" width="8" style="51" customWidth="1"/>
    <col min="10" max="10" width="9.796875" style="51" customWidth="1"/>
    <col min="11" max="12" width="7.19921875" style="51" customWidth="1"/>
    <col min="13" max="13" width="9" style="51" customWidth="1"/>
    <col min="14" max="14" width="8.59765625" style="51" customWidth="1"/>
    <col min="15" max="15" width="9.59765625" style="51" bestFit="1" customWidth="1"/>
    <col min="16" max="16" width="10.19921875" style="51" bestFit="1" customWidth="1"/>
    <col min="17" max="17" width="9.59765625" style="52" customWidth="1"/>
    <col min="18" max="18" width="6" style="330" customWidth="1"/>
    <col min="19" max="19" width="7.796875" style="330" bestFit="1" customWidth="1"/>
    <col min="20" max="20" width="7" style="330" bestFit="1" customWidth="1"/>
    <col min="21" max="21" width="7.796875" style="330" bestFit="1" customWidth="1"/>
    <col min="22" max="16384" width="4.3984375" style="48"/>
  </cols>
  <sheetData>
    <row r="1" spans="1:21" s="36" customFormat="1" ht="18" x14ac:dyDescent="0.2">
      <c r="A1" s="438" t="s">
        <v>1050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4"/>
      <c r="R1" s="305"/>
      <c r="S1" s="305"/>
      <c r="T1" s="305"/>
      <c r="U1" s="305"/>
    </row>
    <row r="2" spans="1:21" s="36" customFormat="1" x14ac:dyDescent="0.2">
      <c r="A2" s="67"/>
      <c r="B2" s="43" t="s">
        <v>124</v>
      </c>
      <c r="C2" s="46"/>
      <c r="D2" s="46"/>
      <c r="E2" s="45"/>
      <c r="F2" s="45"/>
      <c r="G2" s="45"/>
      <c r="H2" s="45"/>
      <c r="I2" s="45"/>
      <c r="J2" s="45"/>
      <c r="K2" s="45" t="s">
        <v>133</v>
      </c>
      <c r="L2" s="45"/>
      <c r="M2" s="45"/>
      <c r="N2" s="46" t="s">
        <v>147</v>
      </c>
      <c r="O2" s="45"/>
      <c r="P2" s="45"/>
      <c r="Q2" s="44"/>
      <c r="R2" s="305"/>
      <c r="S2" s="305"/>
      <c r="T2" s="305"/>
      <c r="U2" s="305"/>
    </row>
    <row r="3" spans="1:21" s="36" customFormat="1" ht="15" customHeight="1" x14ac:dyDescent="0.2">
      <c r="A3" s="407" t="s">
        <v>110</v>
      </c>
      <c r="B3" s="407" t="s">
        <v>94</v>
      </c>
      <c r="C3" s="439" t="s">
        <v>313</v>
      </c>
      <c r="D3" s="440"/>
      <c r="E3" s="408" t="s">
        <v>1051</v>
      </c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10"/>
      <c r="Q3" s="406" t="s">
        <v>148</v>
      </c>
      <c r="R3" s="305"/>
      <c r="S3" s="305"/>
      <c r="T3" s="305"/>
      <c r="U3" s="305"/>
    </row>
    <row r="4" spans="1:21" s="36" customFormat="1" ht="15" customHeight="1" x14ac:dyDescent="0.2">
      <c r="A4" s="407"/>
      <c r="B4" s="407"/>
      <c r="C4" s="441"/>
      <c r="D4" s="442"/>
      <c r="E4" s="408" t="s">
        <v>117</v>
      </c>
      <c r="F4" s="410"/>
      <c r="G4" s="408" t="s">
        <v>118</v>
      </c>
      <c r="H4" s="410"/>
      <c r="I4" s="408" t="s">
        <v>119</v>
      </c>
      <c r="J4" s="410"/>
      <c r="K4" s="408" t="s">
        <v>120</v>
      </c>
      <c r="L4" s="410"/>
      <c r="M4" s="408" t="s">
        <v>122</v>
      </c>
      <c r="N4" s="410"/>
      <c r="O4" s="408" t="s">
        <v>146</v>
      </c>
      <c r="P4" s="410"/>
      <c r="Q4" s="406"/>
      <c r="R4" s="305"/>
      <c r="S4" s="305"/>
      <c r="T4" s="305"/>
      <c r="U4" s="305"/>
    </row>
    <row r="5" spans="1:21" s="36" customFormat="1" ht="15" customHeight="1" x14ac:dyDescent="0.2">
      <c r="A5" s="407"/>
      <c r="B5" s="407"/>
      <c r="C5" s="291" t="s">
        <v>27</v>
      </c>
      <c r="D5" s="291" t="s">
        <v>15</v>
      </c>
      <c r="E5" s="291" t="s">
        <v>27</v>
      </c>
      <c r="F5" s="291" t="s">
        <v>15</v>
      </c>
      <c r="G5" s="291" t="s">
        <v>27</v>
      </c>
      <c r="H5" s="291" t="s">
        <v>15</v>
      </c>
      <c r="I5" s="291" t="s">
        <v>27</v>
      </c>
      <c r="J5" s="291" t="s">
        <v>15</v>
      </c>
      <c r="K5" s="291" t="s">
        <v>27</v>
      </c>
      <c r="L5" s="291" t="s">
        <v>15</v>
      </c>
      <c r="M5" s="291" t="s">
        <v>27</v>
      </c>
      <c r="N5" s="291" t="s">
        <v>15</v>
      </c>
      <c r="O5" s="291" t="s">
        <v>27</v>
      </c>
      <c r="P5" s="291" t="s">
        <v>15</v>
      </c>
      <c r="Q5" s="406"/>
      <c r="R5" s="305"/>
      <c r="S5" s="305"/>
      <c r="T5" s="305"/>
      <c r="U5" s="305"/>
    </row>
    <row r="6" spans="1:21" s="36" customFormat="1" ht="13.5" customHeight="1" x14ac:dyDescent="0.15">
      <c r="A6" s="210">
        <v>1</v>
      </c>
      <c r="B6" s="142" t="s">
        <v>51</v>
      </c>
      <c r="C6" s="224">
        <v>30432</v>
      </c>
      <c r="D6" s="224">
        <v>201433</v>
      </c>
      <c r="E6" s="224">
        <v>1591</v>
      </c>
      <c r="F6" s="224">
        <v>3291</v>
      </c>
      <c r="G6" s="224">
        <v>46</v>
      </c>
      <c r="H6" s="224">
        <v>1289</v>
      </c>
      <c r="I6" s="224">
        <v>1</v>
      </c>
      <c r="J6" s="224">
        <v>27</v>
      </c>
      <c r="K6" s="224">
        <v>12</v>
      </c>
      <c r="L6" s="224">
        <v>184</v>
      </c>
      <c r="M6" s="224">
        <v>35</v>
      </c>
      <c r="N6" s="224">
        <v>254</v>
      </c>
      <c r="O6" s="142">
        <f>E6+G6+I6+K6+M6</f>
        <v>1685</v>
      </c>
      <c r="P6" s="142">
        <f>F6+H6+J6+L6+N6</f>
        <v>5045</v>
      </c>
      <c r="Q6" s="306">
        <f>P6*100/D6</f>
        <v>2.5045548643965985</v>
      </c>
      <c r="R6" s="305"/>
      <c r="S6" s="305"/>
      <c r="T6" s="305"/>
      <c r="U6" s="305"/>
    </row>
    <row r="7" spans="1:21" ht="13.5" customHeight="1" x14ac:dyDescent="0.15">
      <c r="A7" s="210">
        <v>2</v>
      </c>
      <c r="B7" s="142" t="s">
        <v>52</v>
      </c>
      <c r="C7" s="224">
        <v>36156</v>
      </c>
      <c r="D7" s="224">
        <v>213589</v>
      </c>
      <c r="E7" s="224">
        <v>24214</v>
      </c>
      <c r="F7" s="224">
        <v>48578.42</v>
      </c>
      <c r="G7" s="224">
        <v>2021</v>
      </c>
      <c r="H7" s="224">
        <v>46165.7</v>
      </c>
      <c r="I7" s="224">
        <v>60</v>
      </c>
      <c r="J7" s="224">
        <v>8213.85</v>
      </c>
      <c r="K7" s="224">
        <v>0</v>
      </c>
      <c r="L7" s="224">
        <v>0</v>
      </c>
      <c r="M7" s="224">
        <v>0</v>
      </c>
      <c r="N7" s="224">
        <v>0</v>
      </c>
      <c r="O7" s="142">
        <f t="shared" ref="O7:O57" si="0">E7+G7+I7+K7+M7</f>
        <v>26295</v>
      </c>
      <c r="P7" s="142">
        <f t="shared" ref="P7:P57" si="1">F7+H7+J7+L7+N7</f>
        <v>102957.97</v>
      </c>
      <c r="Q7" s="306">
        <f t="shared" ref="Q7:Q57" si="2">P7*100/D7</f>
        <v>48.203779220840026</v>
      </c>
      <c r="R7" s="305"/>
      <c r="S7" s="305"/>
      <c r="T7" s="305"/>
      <c r="U7" s="305"/>
    </row>
    <row r="8" spans="1:21" s="177" customFormat="1" ht="13.5" customHeight="1" x14ac:dyDescent="0.15">
      <c r="A8" s="210">
        <v>3</v>
      </c>
      <c r="B8" s="142" t="s">
        <v>53</v>
      </c>
      <c r="C8" s="224">
        <v>12483</v>
      </c>
      <c r="D8" s="224">
        <v>68756</v>
      </c>
      <c r="E8" s="224">
        <v>960</v>
      </c>
      <c r="F8" s="224">
        <v>3646.16</v>
      </c>
      <c r="G8" s="224">
        <v>113</v>
      </c>
      <c r="H8" s="224">
        <v>4372.42</v>
      </c>
      <c r="I8" s="224">
        <v>5</v>
      </c>
      <c r="J8" s="224">
        <v>1574.44</v>
      </c>
      <c r="K8" s="224">
        <v>0</v>
      </c>
      <c r="L8" s="224">
        <v>0</v>
      </c>
      <c r="M8" s="224">
        <v>0</v>
      </c>
      <c r="N8" s="224">
        <v>0</v>
      </c>
      <c r="O8" s="142">
        <f t="shared" si="0"/>
        <v>1078</v>
      </c>
      <c r="P8" s="142">
        <f t="shared" si="1"/>
        <v>9593.02</v>
      </c>
      <c r="Q8" s="306">
        <f t="shared" si="2"/>
        <v>13.952265984059572</v>
      </c>
      <c r="R8" s="305"/>
      <c r="S8" s="305"/>
      <c r="T8" s="305"/>
      <c r="U8" s="305"/>
    </row>
    <row r="9" spans="1:21" ht="13.5" customHeight="1" x14ac:dyDescent="0.15">
      <c r="A9" s="210">
        <v>4</v>
      </c>
      <c r="B9" s="142" t="s">
        <v>54</v>
      </c>
      <c r="C9" s="224">
        <v>19171</v>
      </c>
      <c r="D9" s="224">
        <v>115135</v>
      </c>
      <c r="E9" s="224">
        <v>1435</v>
      </c>
      <c r="F9" s="224">
        <v>5426</v>
      </c>
      <c r="G9" s="224">
        <v>101</v>
      </c>
      <c r="H9" s="224">
        <v>3053</v>
      </c>
      <c r="I9" s="224">
        <v>0</v>
      </c>
      <c r="J9" s="224">
        <v>0</v>
      </c>
      <c r="K9" s="224">
        <v>0</v>
      </c>
      <c r="L9" s="224">
        <v>0</v>
      </c>
      <c r="M9" s="224">
        <v>81</v>
      </c>
      <c r="N9" s="224">
        <v>197</v>
      </c>
      <c r="O9" s="142">
        <f t="shared" si="0"/>
        <v>1617</v>
      </c>
      <c r="P9" s="142">
        <f t="shared" si="1"/>
        <v>8676</v>
      </c>
      <c r="Q9" s="306">
        <f t="shared" si="2"/>
        <v>7.5355018022321625</v>
      </c>
      <c r="R9" s="305"/>
      <c r="S9" s="305"/>
      <c r="T9" s="305"/>
      <c r="U9" s="305"/>
    </row>
    <row r="10" spans="1:21" ht="13.5" customHeight="1" x14ac:dyDescent="0.15">
      <c r="A10" s="210">
        <v>5</v>
      </c>
      <c r="B10" s="142" t="s">
        <v>55</v>
      </c>
      <c r="C10" s="224">
        <v>43573</v>
      </c>
      <c r="D10" s="224">
        <v>234565</v>
      </c>
      <c r="E10" s="224">
        <v>17961</v>
      </c>
      <c r="F10" s="224">
        <v>33292</v>
      </c>
      <c r="G10" s="224">
        <v>2739</v>
      </c>
      <c r="H10" s="224">
        <v>66537</v>
      </c>
      <c r="I10" s="224">
        <v>31</v>
      </c>
      <c r="J10" s="224">
        <v>6690</v>
      </c>
      <c r="K10" s="224">
        <v>1097</v>
      </c>
      <c r="L10" s="224">
        <v>3006</v>
      </c>
      <c r="M10" s="224">
        <v>253</v>
      </c>
      <c r="N10" s="224">
        <v>6829</v>
      </c>
      <c r="O10" s="142">
        <f t="shared" si="0"/>
        <v>22081</v>
      </c>
      <c r="P10" s="142">
        <f t="shared" si="1"/>
        <v>116354</v>
      </c>
      <c r="Q10" s="306">
        <f t="shared" si="2"/>
        <v>49.604160893568945</v>
      </c>
      <c r="R10" s="305"/>
      <c r="S10" s="305"/>
      <c r="T10" s="305"/>
      <c r="U10" s="305"/>
    </row>
    <row r="11" spans="1:21" s="36" customFormat="1" ht="13.5" customHeight="1" x14ac:dyDescent="0.15">
      <c r="A11" s="210">
        <v>6</v>
      </c>
      <c r="B11" s="142" t="s">
        <v>56</v>
      </c>
      <c r="C11" s="224">
        <v>27336</v>
      </c>
      <c r="D11" s="224">
        <v>162175</v>
      </c>
      <c r="E11" s="224">
        <v>821</v>
      </c>
      <c r="F11" s="224">
        <v>783</v>
      </c>
      <c r="G11" s="224">
        <v>209</v>
      </c>
      <c r="H11" s="224">
        <v>289</v>
      </c>
      <c r="I11" s="224">
        <v>4</v>
      </c>
      <c r="J11" s="224">
        <v>650</v>
      </c>
      <c r="K11" s="224">
        <v>15</v>
      </c>
      <c r="L11" s="224">
        <v>75</v>
      </c>
      <c r="M11" s="224">
        <v>0</v>
      </c>
      <c r="N11" s="224">
        <v>0</v>
      </c>
      <c r="O11" s="142">
        <f t="shared" si="0"/>
        <v>1049</v>
      </c>
      <c r="P11" s="142">
        <f t="shared" si="1"/>
        <v>1797</v>
      </c>
      <c r="Q11" s="306">
        <f t="shared" si="2"/>
        <v>1.1080622784029597</v>
      </c>
      <c r="R11" s="305"/>
      <c r="S11" s="305"/>
      <c r="T11" s="305"/>
      <c r="U11" s="305"/>
    </row>
    <row r="12" spans="1:21" ht="13.5" customHeight="1" x14ac:dyDescent="0.15">
      <c r="A12" s="210">
        <v>7</v>
      </c>
      <c r="B12" s="142" t="s">
        <v>57</v>
      </c>
      <c r="C12" s="224">
        <v>4418</v>
      </c>
      <c r="D12" s="224">
        <v>25056</v>
      </c>
      <c r="E12" s="224">
        <v>256</v>
      </c>
      <c r="F12" s="224">
        <v>533</v>
      </c>
      <c r="G12" s="224">
        <v>0</v>
      </c>
      <c r="H12" s="224">
        <v>0</v>
      </c>
      <c r="I12" s="224">
        <v>1</v>
      </c>
      <c r="J12" s="224">
        <v>275</v>
      </c>
      <c r="K12" s="224">
        <v>0</v>
      </c>
      <c r="L12" s="224">
        <v>0</v>
      </c>
      <c r="M12" s="224">
        <v>0</v>
      </c>
      <c r="N12" s="224">
        <v>0</v>
      </c>
      <c r="O12" s="142">
        <f t="shared" si="0"/>
        <v>257</v>
      </c>
      <c r="P12" s="142">
        <f t="shared" si="1"/>
        <v>808</v>
      </c>
      <c r="Q12" s="306">
        <f t="shared" si="2"/>
        <v>3.2247765006385696</v>
      </c>
      <c r="R12" s="305"/>
      <c r="S12" s="305"/>
      <c r="T12" s="305"/>
      <c r="U12" s="305"/>
    </row>
    <row r="13" spans="1:21" ht="13.5" customHeight="1" x14ac:dyDescent="0.15">
      <c r="A13" s="210">
        <v>8</v>
      </c>
      <c r="B13" s="142" t="s">
        <v>178</v>
      </c>
      <c r="C13" s="224">
        <v>4373</v>
      </c>
      <c r="D13" s="224">
        <v>26328</v>
      </c>
      <c r="E13" s="224">
        <v>164</v>
      </c>
      <c r="F13" s="224">
        <v>452</v>
      </c>
      <c r="G13" s="224">
        <v>21</v>
      </c>
      <c r="H13" s="224">
        <v>107</v>
      </c>
      <c r="I13" s="224">
        <v>1</v>
      </c>
      <c r="J13" s="224">
        <v>1</v>
      </c>
      <c r="K13" s="224">
        <v>0</v>
      </c>
      <c r="L13" s="224">
        <v>0</v>
      </c>
      <c r="M13" s="224">
        <v>0</v>
      </c>
      <c r="N13" s="224">
        <v>0</v>
      </c>
      <c r="O13" s="142">
        <f t="shared" si="0"/>
        <v>186</v>
      </c>
      <c r="P13" s="142">
        <f t="shared" si="1"/>
        <v>560</v>
      </c>
      <c r="Q13" s="306">
        <f t="shared" si="2"/>
        <v>2.1270130659374051</v>
      </c>
      <c r="R13" s="305"/>
      <c r="S13" s="305"/>
      <c r="T13" s="305"/>
      <c r="U13" s="305"/>
    </row>
    <row r="14" spans="1:21" ht="13.5" customHeight="1" x14ac:dyDescent="0.15">
      <c r="A14" s="210">
        <v>9</v>
      </c>
      <c r="B14" s="142" t="s">
        <v>58</v>
      </c>
      <c r="C14" s="224">
        <v>58133</v>
      </c>
      <c r="D14" s="224">
        <v>343334</v>
      </c>
      <c r="E14" s="224">
        <v>1694</v>
      </c>
      <c r="F14" s="224">
        <v>2749</v>
      </c>
      <c r="G14" s="224">
        <v>445</v>
      </c>
      <c r="H14" s="224">
        <v>3636.63</v>
      </c>
      <c r="I14" s="224">
        <v>45</v>
      </c>
      <c r="J14" s="224">
        <v>5424.17</v>
      </c>
      <c r="K14" s="224">
        <v>0</v>
      </c>
      <c r="L14" s="224">
        <v>0</v>
      </c>
      <c r="M14" s="224">
        <v>0</v>
      </c>
      <c r="N14" s="224">
        <v>0</v>
      </c>
      <c r="O14" s="142">
        <f t="shared" si="0"/>
        <v>2184</v>
      </c>
      <c r="P14" s="142">
        <f t="shared" si="1"/>
        <v>11809.8</v>
      </c>
      <c r="Q14" s="306">
        <f t="shared" si="2"/>
        <v>3.4397408937070026</v>
      </c>
      <c r="R14" s="305"/>
      <c r="S14" s="305"/>
      <c r="T14" s="305"/>
      <c r="U14" s="305"/>
    </row>
    <row r="15" spans="1:21" ht="13.5" customHeight="1" x14ac:dyDescent="0.15">
      <c r="A15" s="210">
        <v>10</v>
      </c>
      <c r="B15" s="142" t="s">
        <v>64</v>
      </c>
      <c r="C15" s="224">
        <v>141871</v>
      </c>
      <c r="D15" s="224">
        <v>820417</v>
      </c>
      <c r="E15" s="224">
        <v>23661</v>
      </c>
      <c r="F15" s="224">
        <v>187645</v>
      </c>
      <c r="G15" s="224">
        <v>3746</v>
      </c>
      <c r="H15" s="224">
        <v>168467</v>
      </c>
      <c r="I15" s="224">
        <v>105</v>
      </c>
      <c r="J15" s="224">
        <v>21074</v>
      </c>
      <c r="K15" s="224">
        <v>0</v>
      </c>
      <c r="L15" s="224">
        <v>0</v>
      </c>
      <c r="M15" s="224">
        <v>0</v>
      </c>
      <c r="N15" s="224">
        <v>0</v>
      </c>
      <c r="O15" s="142">
        <f t="shared" si="0"/>
        <v>27512</v>
      </c>
      <c r="P15" s="142">
        <f t="shared" si="1"/>
        <v>377186</v>
      </c>
      <c r="Q15" s="306">
        <f t="shared" si="2"/>
        <v>45.974912757780494</v>
      </c>
      <c r="R15" s="305"/>
      <c r="S15" s="305"/>
      <c r="T15" s="305"/>
      <c r="U15" s="305"/>
    </row>
    <row r="16" spans="1:21" ht="13.5" customHeight="1" x14ac:dyDescent="0.15">
      <c r="A16" s="210">
        <v>11</v>
      </c>
      <c r="B16" s="142" t="s">
        <v>179</v>
      </c>
      <c r="C16" s="224">
        <v>19117</v>
      </c>
      <c r="D16" s="224">
        <v>103408</v>
      </c>
      <c r="E16" s="224">
        <v>854</v>
      </c>
      <c r="F16" s="224">
        <v>787</v>
      </c>
      <c r="G16" s="224">
        <v>47</v>
      </c>
      <c r="H16" s="224">
        <v>151849</v>
      </c>
      <c r="I16" s="224">
        <v>0</v>
      </c>
      <c r="J16" s="224">
        <v>0</v>
      </c>
      <c r="K16" s="224">
        <v>0</v>
      </c>
      <c r="L16" s="224">
        <v>0</v>
      </c>
      <c r="M16" s="224">
        <v>0</v>
      </c>
      <c r="N16" s="224">
        <v>0</v>
      </c>
      <c r="O16" s="142">
        <f t="shared" si="0"/>
        <v>901</v>
      </c>
      <c r="P16" s="142">
        <f t="shared" si="1"/>
        <v>152636</v>
      </c>
      <c r="Q16" s="306">
        <f t="shared" si="2"/>
        <v>147.60560111403373</v>
      </c>
      <c r="R16" s="305"/>
      <c r="S16" s="305"/>
      <c r="T16" s="305"/>
      <c r="U16" s="305"/>
    </row>
    <row r="17" spans="1:21" ht="13.5" customHeight="1" x14ac:dyDescent="0.15">
      <c r="A17" s="210">
        <v>12</v>
      </c>
      <c r="B17" s="142" t="s">
        <v>60</v>
      </c>
      <c r="C17" s="224">
        <v>38602</v>
      </c>
      <c r="D17" s="224">
        <v>231544</v>
      </c>
      <c r="E17" s="224">
        <v>8596</v>
      </c>
      <c r="F17" s="224">
        <v>72216</v>
      </c>
      <c r="G17" s="224">
        <v>1347</v>
      </c>
      <c r="H17" s="224">
        <v>56784</v>
      </c>
      <c r="I17" s="224">
        <v>177</v>
      </c>
      <c r="J17" s="224">
        <v>22271</v>
      </c>
      <c r="K17" s="224">
        <v>0</v>
      </c>
      <c r="L17" s="224">
        <v>0</v>
      </c>
      <c r="M17" s="224">
        <v>0</v>
      </c>
      <c r="N17" s="224">
        <v>0</v>
      </c>
      <c r="O17" s="142">
        <f t="shared" si="0"/>
        <v>10120</v>
      </c>
      <c r="P17" s="142">
        <f t="shared" si="1"/>
        <v>151271</v>
      </c>
      <c r="Q17" s="306">
        <f t="shared" si="2"/>
        <v>65.331427288118022</v>
      </c>
      <c r="R17" s="305"/>
      <c r="S17" s="305"/>
      <c r="T17" s="305"/>
      <c r="U17" s="305"/>
    </row>
    <row r="18" spans="1:21" s="49" customFormat="1" ht="13.5" customHeight="1" x14ac:dyDescent="0.15">
      <c r="A18" s="291"/>
      <c r="B18" s="139" t="s">
        <v>215</v>
      </c>
      <c r="C18" s="282">
        <f>SUM(C6:C17)</f>
        <v>435665</v>
      </c>
      <c r="D18" s="282">
        <f t="shared" ref="D18:N18" si="3">SUM(D6:D17)</f>
        <v>2545740</v>
      </c>
      <c r="E18" s="282">
        <f t="shared" si="3"/>
        <v>82207</v>
      </c>
      <c r="F18" s="282">
        <f t="shared" si="3"/>
        <v>359398.58</v>
      </c>
      <c r="G18" s="282">
        <f t="shared" si="3"/>
        <v>10835</v>
      </c>
      <c r="H18" s="282">
        <f t="shared" si="3"/>
        <v>502549.75</v>
      </c>
      <c r="I18" s="282">
        <f t="shared" si="3"/>
        <v>430</v>
      </c>
      <c r="J18" s="282">
        <f t="shared" si="3"/>
        <v>66200.459999999992</v>
      </c>
      <c r="K18" s="282">
        <f t="shared" si="3"/>
        <v>1124</v>
      </c>
      <c r="L18" s="282">
        <f t="shared" si="3"/>
        <v>3265</v>
      </c>
      <c r="M18" s="282">
        <f t="shared" si="3"/>
        <v>369</v>
      </c>
      <c r="N18" s="282">
        <f t="shared" si="3"/>
        <v>7280</v>
      </c>
      <c r="O18" s="139">
        <f t="shared" si="0"/>
        <v>94965</v>
      </c>
      <c r="P18" s="139">
        <f t="shared" si="1"/>
        <v>938693.79</v>
      </c>
      <c r="Q18" s="242">
        <f t="shared" si="2"/>
        <v>36.873120978575976</v>
      </c>
      <c r="R18" s="305"/>
      <c r="S18" s="305"/>
      <c r="T18" s="305"/>
      <c r="U18" s="305"/>
    </row>
    <row r="19" spans="1:21" ht="13.5" customHeight="1" x14ac:dyDescent="0.15">
      <c r="A19" s="210">
        <v>13</v>
      </c>
      <c r="B19" s="142" t="s">
        <v>41</v>
      </c>
      <c r="C19" s="281">
        <v>12827</v>
      </c>
      <c r="D19" s="281">
        <v>95100</v>
      </c>
      <c r="E19" s="281">
        <v>109</v>
      </c>
      <c r="F19" s="281">
        <v>3683.41</v>
      </c>
      <c r="G19" s="281">
        <v>75</v>
      </c>
      <c r="H19" s="281">
        <v>3994.77</v>
      </c>
      <c r="I19" s="281">
        <v>7</v>
      </c>
      <c r="J19" s="281">
        <v>991.99</v>
      </c>
      <c r="K19" s="281">
        <v>0</v>
      </c>
      <c r="L19" s="281">
        <v>0</v>
      </c>
      <c r="M19" s="281">
        <v>0</v>
      </c>
      <c r="N19" s="281">
        <v>0</v>
      </c>
      <c r="O19" s="142">
        <f t="shared" si="0"/>
        <v>191</v>
      </c>
      <c r="P19" s="142">
        <f t="shared" si="1"/>
        <v>8670.17</v>
      </c>
      <c r="Q19" s="306">
        <f t="shared" si="2"/>
        <v>9.1168980021030492</v>
      </c>
      <c r="R19" s="305"/>
      <c r="S19" s="305"/>
      <c r="T19" s="305"/>
      <c r="U19" s="305"/>
    </row>
    <row r="20" spans="1:21" s="177" customFormat="1" ht="13.5" customHeight="1" x14ac:dyDescent="0.15">
      <c r="A20" s="211">
        <v>14</v>
      </c>
      <c r="B20" s="204" t="s">
        <v>180</v>
      </c>
      <c r="C20" s="281">
        <v>3193</v>
      </c>
      <c r="D20" s="281">
        <v>23306</v>
      </c>
      <c r="E20" s="281">
        <v>25561</v>
      </c>
      <c r="F20" s="281">
        <v>15909.72</v>
      </c>
      <c r="G20" s="281">
        <v>100</v>
      </c>
      <c r="H20" s="281">
        <v>987.2</v>
      </c>
      <c r="I20" s="281">
        <v>2</v>
      </c>
      <c r="J20" s="281">
        <v>130</v>
      </c>
      <c r="K20" s="281">
        <v>0</v>
      </c>
      <c r="L20" s="281">
        <v>0</v>
      </c>
      <c r="M20" s="281">
        <v>0</v>
      </c>
      <c r="N20" s="281">
        <v>0</v>
      </c>
      <c r="O20" s="142">
        <f t="shared" si="0"/>
        <v>25663</v>
      </c>
      <c r="P20" s="142">
        <f t="shared" si="1"/>
        <v>17026.919999999998</v>
      </c>
      <c r="Q20" s="306">
        <f t="shared" si="2"/>
        <v>73.058096627477894</v>
      </c>
      <c r="R20" s="305"/>
      <c r="S20" s="305"/>
      <c r="T20" s="305"/>
      <c r="U20" s="305"/>
    </row>
    <row r="21" spans="1:21" ht="13.5" customHeight="1" x14ac:dyDescent="0.15">
      <c r="A21" s="210">
        <v>15</v>
      </c>
      <c r="B21" s="142" t="s">
        <v>181</v>
      </c>
      <c r="C21" s="281">
        <v>127</v>
      </c>
      <c r="D21" s="281">
        <v>1569</v>
      </c>
      <c r="E21" s="281">
        <v>2</v>
      </c>
      <c r="F21" s="281">
        <v>18</v>
      </c>
      <c r="G21" s="281">
        <v>0</v>
      </c>
      <c r="H21" s="281">
        <v>0</v>
      </c>
      <c r="I21" s="281">
        <v>0</v>
      </c>
      <c r="J21" s="281">
        <v>0</v>
      </c>
      <c r="K21" s="281">
        <v>0</v>
      </c>
      <c r="L21" s="281">
        <v>0</v>
      </c>
      <c r="M21" s="281">
        <v>0</v>
      </c>
      <c r="N21" s="281">
        <v>0</v>
      </c>
      <c r="O21" s="142">
        <f t="shared" si="0"/>
        <v>2</v>
      </c>
      <c r="P21" s="142">
        <f t="shared" si="1"/>
        <v>18</v>
      </c>
      <c r="Q21" s="306">
        <f t="shared" si="2"/>
        <v>1.1472275334608031</v>
      </c>
      <c r="R21" s="305"/>
      <c r="S21" s="305"/>
      <c r="T21" s="305"/>
      <c r="U21" s="305"/>
    </row>
    <row r="22" spans="1:21" ht="13.5" customHeight="1" x14ac:dyDescent="0.15">
      <c r="A22" s="210">
        <v>16</v>
      </c>
      <c r="B22" s="142" t="s">
        <v>45</v>
      </c>
      <c r="C22" s="281">
        <v>518</v>
      </c>
      <c r="D22" s="281">
        <v>3842</v>
      </c>
      <c r="E22" s="281">
        <v>4</v>
      </c>
      <c r="F22" s="281">
        <v>49.57</v>
      </c>
      <c r="G22" s="281">
        <v>5</v>
      </c>
      <c r="H22" s="281">
        <v>539.46</v>
      </c>
      <c r="I22" s="281">
        <v>0</v>
      </c>
      <c r="J22" s="281">
        <v>0</v>
      </c>
      <c r="K22" s="281">
        <v>0</v>
      </c>
      <c r="L22" s="281">
        <v>0</v>
      </c>
      <c r="M22" s="281">
        <v>0</v>
      </c>
      <c r="N22" s="281">
        <v>0</v>
      </c>
      <c r="O22" s="142">
        <f t="shared" si="0"/>
        <v>9</v>
      </c>
      <c r="P22" s="142">
        <f t="shared" si="1"/>
        <v>589.03000000000009</v>
      </c>
      <c r="Q22" s="306">
        <f t="shared" si="2"/>
        <v>15.331337844872465</v>
      </c>
      <c r="R22" s="305"/>
      <c r="S22" s="305"/>
      <c r="T22" s="305"/>
      <c r="U22" s="305"/>
    </row>
    <row r="23" spans="1:21" ht="13.5" customHeight="1" x14ac:dyDescent="0.15">
      <c r="A23" s="210">
        <v>17</v>
      </c>
      <c r="B23" s="142" t="s">
        <v>182</v>
      </c>
      <c r="C23" s="281">
        <v>1988</v>
      </c>
      <c r="D23" s="281">
        <v>12994</v>
      </c>
      <c r="E23" s="281">
        <v>183</v>
      </c>
      <c r="F23" s="281">
        <v>1409</v>
      </c>
      <c r="G23" s="281">
        <v>17</v>
      </c>
      <c r="H23" s="281">
        <v>190</v>
      </c>
      <c r="I23" s="281">
        <v>0</v>
      </c>
      <c r="J23" s="281">
        <v>0</v>
      </c>
      <c r="K23" s="281">
        <v>0</v>
      </c>
      <c r="L23" s="281">
        <v>0</v>
      </c>
      <c r="M23" s="281">
        <v>0</v>
      </c>
      <c r="N23" s="281">
        <v>0</v>
      </c>
      <c r="O23" s="142">
        <f t="shared" si="0"/>
        <v>200</v>
      </c>
      <c r="P23" s="142">
        <f t="shared" si="1"/>
        <v>1599</v>
      </c>
      <c r="Q23" s="306">
        <f t="shared" si="2"/>
        <v>12.305679544405111</v>
      </c>
      <c r="R23" s="305"/>
      <c r="S23" s="305"/>
      <c r="T23" s="305"/>
      <c r="U23" s="305"/>
    </row>
    <row r="24" spans="1:21" s="49" customFormat="1" ht="13.5" customHeight="1" x14ac:dyDescent="0.15">
      <c r="A24" s="210">
        <v>18</v>
      </c>
      <c r="B24" s="142" t="s">
        <v>183</v>
      </c>
      <c r="C24" s="281">
        <v>198</v>
      </c>
      <c r="D24" s="281">
        <v>1568</v>
      </c>
      <c r="E24" s="281">
        <v>0</v>
      </c>
      <c r="F24" s="281">
        <v>0</v>
      </c>
      <c r="G24" s="281">
        <v>5</v>
      </c>
      <c r="H24" s="281">
        <v>25.9</v>
      </c>
      <c r="I24" s="281">
        <v>0</v>
      </c>
      <c r="J24" s="281">
        <v>0</v>
      </c>
      <c r="K24" s="281">
        <v>0</v>
      </c>
      <c r="L24" s="281">
        <v>0</v>
      </c>
      <c r="M24" s="281">
        <v>0</v>
      </c>
      <c r="N24" s="281">
        <v>0</v>
      </c>
      <c r="O24" s="142">
        <f t="shared" si="0"/>
        <v>5</v>
      </c>
      <c r="P24" s="142">
        <f t="shared" si="1"/>
        <v>25.9</v>
      </c>
      <c r="Q24" s="306">
        <f t="shared" si="2"/>
        <v>1.6517857142857142</v>
      </c>
      <c r="R24" s="305"/>
      <c r="S24" s="305"/>
      <c r="T24" s="305"/>
      <c r="U24" s="305"/>
    </row>
    <row r="25" spans="1:21" ht="13.5" customHeight="1" x14ac:dyDescent="0.15">
      <c r="A25" s="210">
        <v>19</v>
      </c>
      <c r="B25" s="142" t="s">
        <v>184</v>
      </c>
      <c r="C25" s="281">
        <v>691</v>
      </c>
      <c r="D25" s="281">
        <v>4540</v>
      </c>
      <c r="E25" s="281">
        <v>34</v>
      </c>
      <c r="F25" s="281">
        <v>350</v>
      </c>
      <c r="G25" s="281">
        <v>5</v>
      </c>
      <c r="H25" s="281">
        <v>407</v>
      </c>
      <c r="I25" s="281">
        <v>3</v>
      </c>
      <c r="J25" s="281">
        <v>1050</v>
      </c>
      <c r="K25" s="281">
        <v>0</v>
      </c>
      <c r="L25" s="281">
        <v>0</v>
      </c>
      <c r="M25" s="281">
        <v>0</v>
      </c>
      <c r="N25" s="281">
        <v>0</v>
      </c>
      <c r="O25" s="142">
        <f t="shared" si="0"/>
        <v>42</v>
      </c>
      <c r="P25" s="142">
        <f t="shared" si="1"/>
        <v>1807</v>
      </c>
      <c r="Q25" s="306">
        <f t="shared" si="2"/>
        <v>39.801762114537446</v>
      </c>
      <c r="R25" s="305"/>
      <c r="S25" s="305"/>
      <c r="T25" s="305"/>
      <c r="U25" s="305"/>
    </row>
    <row r="26" spans="1:21" ht="13.5" customHeight="1" x14ac:dyDescent="0.15">
      <c r="A26" s="210">
        <v>20</v>
      </c>
      <c r="B26" s="142" t="s">
        <v>65</v>
      </c>
      <c r="C26" s="281">
        <v>23308</v>
      </c>
      <c r="D26" s="281">
        <v>165306</v>
      </c>
      <c r="E26" s="281">
        <v>1065</v>
      </c>
      <c r="F26" s="281">
        <v>7561.55</v>
      </c>
      <c r="G26" s="281">
        <v>201</v>
      </c>
      <c r="H26" s="281">
        <v>8306.6</v>
      </c>
      <c r="I26" s="281">
        <v>378</v>
      </c>
      <c r="J26" s="281">
        <v>23782.06</v>
      </c>
      <c r="K26" s="281">
        <v>0</v>
      </c>
      <c r="L26" s="281">
        <v>0</v>
      </c>
      <c r="M26" s="281">
        <v>0</v>
      </c>
      <c r="N26" s="281">
        <v>0</v>
      </c>
      <c r="O26" s="142">
        <f t="shared" si="0"/>
        <v>1644</v>
      </c>
      <c r="P26" s="142">
        <f t="shared" si="1"/>
        <v>39650.210000000006</v>
      </c>
      <c r="Q26" s="306">
        <f t="shared" si="2"/>
        <v>23.985947273541193</v>
      </c>
      <c r="R26" s="305"/>
      <c r="S26" s="305"/>
      <c r="T26" s="305"/>
      <c r="U26" s="305"/>
    </row>
    <row r="27" spans="1:21" ht="13.5" customHeight="1" x14ac:dyDescent="0.15">
      <c r="A27" s="210">
        <v>21</v>
      </c>
      <c r="B27" s="142" t="s">
        <v>66</v>
      </c>
      <c r="C27" s="281">
        <v>21026</v>
      </c>
      <c r="D27" s="281">
        <v>146051</v>
      </c>
      <c r="E27" s="281">
        <v>1709</v>
      </c>
      <c r="F27" s="281">
        <v>98752</v>
      </c>
      <c r="G27" s="281">
        <v>918</v>
      </c>
      <c r="H27" s="281">
        <v>110016</v>
      </c>
      <c r="I27" s="281">
        <v>193</v>
      </c>
      <c r="J27" s="281">
        <v>57487</v>
      </c>
      <c r="K27" s="281">
        <v>0</v>
      </c>
      <c r="L27" s="281">
        <v>0</v>
      </c>
      <c r="M27" s="281">
        <v>0</v>
      </c>
      <c r="N27" s="281">
        <v>0</v>
      </c>
      <c r="O27" s="142">
        <f t="shared" si="0"/>
        <v>2820</v>
      </c>
      <c r="P27" s="142">
        <f t="shared" si="1"/>
        <v>266255</v>
      </c>
      <c r="Q27" s="306">
        <f t="shared" si="2"/>
        <v>182.30275725602701</v>
      </c>
      <c r="R27" s="305"/>
      <c r="S27" s="305"/>
      <c r="T27" s="305"/>
      <c r="U27" s="305"/>
    </row>
    <row r="28" spans="1:21" ht="13.5" customHeight="1" x14ac:dyDescent="0.15">
      <c r="A28" s="210">
        <v>22</v>
      </c>
      <c r="B28" s="142" t="s">
        <v>75</v>
      </c>
      <c r="C28" s="281">
        <v>8131</v>
      </c>
      <c r="D28" s="281">
        <v>55103</v>
      </c>
      <c r="E28" s="281">
        <v>3361</v>
      </c>
      <c r="F28" s="281">
        <v>26882</v>
      </c>
      <c r="G28" s="281">
        <v>237</v>
      </c>
      <c r="H28" s="281">
        <v>5384</v>
      </c>
      <c r="I28" s="281">
        <v>5</v>
      </c>
      <c r="J28" s="281">
        <v>197</v>
      </c>
      <c r="K28" s="281">
        <v>10</v>
      </c>
      <c r="L28" s="281">
        <v>640</v>
      </c>
      <c r="M28" s="281">
        <v>0</v>
      </c>
      <c r="N28" s="281">
        <v>0</v>
      </c>
      <c r="O28" s="142">
        <f t="shared" si="0"/>
        <v>3613</v>
      </c>
      <c r="P28" s="142">
        <f t="shared" si="1"/>
        <v>33103</v>
      </c>
      <c r="Q28" s="306">
        <f t="shared" si="2"/>
        <v>60.074769068834726</v>
      </c>
      <c r="R28" s="305"/>
      <c r="S28" s="305"/>
      <c r="T28" s="305"/>
      <c r="U28" s="305"/>
    </row>
    <row r="29" spans="1:21" ht="13.5" customHeight="1" x14ac:dyDescent="0.15">
      <c r="A29" s="210">
        <v>23</v>
      </c>
      <c r="B29" s="142" t="s">
        <v>379</v>
      </c>
      <c r="C29" s="281">
        <v>2262</v>
      </c>
      <c r="D29" s="281">
        <v>16525</v>
      </c>
      <c r="E29" s="281">
        <v>1073</v>
      </c>
      <c r="F29" s="281">
        <v>15183</v>
      </c>
      <c r="G29" s="281">
        <v>123</v>
      </c>
      <c r="H29" s="281">
        <v>6255</v>
      </c>
      <c r="I29" s="281">
        <v>14</v>
      </c>
      <c r="J29" s="281">
        <v>24</v>
      </c>
      <c r="K29" s="281">
        <v>0</v>
      </c>
      <c r="L29" s="281">
        <v>0</v>
      </c>
      <c r="M29" s="281">
        <v>0</v>
      </c>
      <c r="N29" s="281">
        <v>0</v>
      </c>
      <c r="O29" s="142">
        <f t="shared" si="0"/>
        <v>1210</v>
      </c>
      <c r="P29" s="142">
        <f t="shared" si="1"/>
        <v>21462</v>
      </c>
      <c r="Q29" s="306">
        <f t="shared" si="2"/>
        <v>129.87594553706506</v>
      </c>
      <c r="R29" s="305"/>
      <c r="S29" s="305"/>
      <c r="T29" s="305"/>
      <c r="U29" s="305"/>
    </row>
    <row r="30" spans="1:21" ht="13.5" customHeight="1" x14ac:dyDescent="0.15">
      <c r="A30" s="210">
        <v>24</v>
      </c>
      <c r="B30" s="142" t="s">
        <v>185</v>
      </c>
      <c r="C30" s="281">
        <v>5747</v>
      </c>
      <c r="D30" s="281">
        <v>38020</v>
      </c>
      <c r="E30" s="281">
        <v>17475</v>
      </c>
      <c r="F30" s="281">
        <v>36058</v>
      </c>
      <c r="G30" s="281">
        <v>874</v>
      </c>
      <c r="H30" s="281">
        <v>26921</v>
      </c>
      <c r="I30" s="281">
        <v>75</v>
      </c>
      <c r="J30" s="281">
        <v>3858</v>
      </c>
      <c r="K30" s="281">
        <v>0</v>
      </c>
      <c r="L30" s="281">
        <v>0</v>
      </c>
      <c r="M30" s="281">
        <v>0</v>
      </c>
      <c r="N30" s="281">
        <v>0</v>
      </c>
      <c r="O30" s="142">
        <f t="shared" si="0"/>
        <v>18424</v>
      </c>
      <c r="P30" s="142">
        <f t="shared" si="1"/>
        <v>66837</v>
      </c>
      <c r="Q30" s="306">
        <f t="shared" si="2"/>
        <v>175.7943187795897</v>
      </c>
      <c r="R30" s="305"/>
      <c r="S30" s="305"/>
      <c r="T30" s="305"/>
      <c r="U30" s="305"/>
    </row>
    <row r="31" spans="1:21" ht="13.5" customHeight="1" x14ac:dyDescent="0.15">
      <c r="A31" s="210">
        <v>25</v>
      </c>
      <c r="B31" s="142" t="s">
        <v>186</v>
      </c>
      <c r="C31" s="281">
        <v>706</v>
      </c>
      <c r="D31" s="281">
        <v>5334</v>
      </c>
      <c r="E31" s="281">
        <v>310</v>
      </c>
      <c r="F31" s="281">
        <v>890</v>
      </c>
      <c r="G31" s="281">
        <v>28</v>
      </c>
      <c r="H31" s="281">
        <v>747</v>
      </c>
      <c r="I31" s="281">
        <v>0</v>
      </c>
      <c r="J31" s="281">
        <v>0</v>
      </c>
      <c r="K31" s="281">
        <v>0</v>
      </c>
      <c r="L31" s="281">
        <v>0</v>
      </c>
      <c r="M31" s="281">
        <v>0</v>
      </c>
      <c r="N31" s="281">
        <v>0</v>
      </c>
      <c r="O31" s="142">
        <f t="shared" si="0"/>
        <v>338</v>
      </c>
      <c r="P31" s="142">
        <f t="shared" si="1"/>
        <v>1637</v>
      </c>
      <c r="Q31" s="306">
        <f t="shared" si="2"/>
        <v>30.689913760779902</v>
      </c>
      <c r="R31" s="305"/>
      <c r="S31" s="305"/>
      <c r="T31" s="305"/>
      <c r="U31" s="305"/>
    </row>
    <row r="32" spans="1:21" ht="13.5" customHeight="1" x14ac:dyDescent="0.15">
      <c r="A32" s="210">
        <v>26</v>
      </c>
      <c r="B32" s="142" t="s">
        <v>187</v>
      </c>
      <c r="C32" s="281">
        <v>845</v>
      </c>
      <c r="D32" s="281">
        <v>5901</v>
      </c>
      <c r="E32" s="281">
        <v>24</v>
      </c>
      <c r="F32" s="281">
        <v>248.88</v>
      </c>
      <c r="G32" s="281">
        <v>7</v>
      </c>
      <c r="H32" s="281">
        <v>1019.71</v>
      </c>
      <c r="I32" s="281">
        <v>2</v>
      </c>
      <c r="J32" s="281">
        <v>1469</v>
      </c>
      <c r="K32" s="281">
        <v>0</v>
      </c>
      <c r="L32" s="281">
        <v>0</v>
      </c>
      <c r="M32" s="281">
        <v>0</v>
      </c>
      <c r="N32" s="281">
        <v>0</v>
      </c>
      <c r="O32" s="142">
        <f t="shared" si="0"/>
        <v>33</v>
      </c>
      <c r="P32" s="142">
        <f t="shared" si="1"/>
        <v>2737.59</v>
      </c>
      <c r="Q32" s="306">
        <f t="shared" si="2"/>
        <v>46.391967463141839</v>
      </c>
      <c r="R32" s="305"/>
      <c r="S32" s="305"/>
      <c r="T32" s="305"/>
      <c r="U32" s="305"/>
    </row>
    <row r="33" spans="1:21" ht="13.5" customHeight="1" x14ac:dyDescent="0.15">
      <c r="A33" s="210">
        <v>27</v>
      </c>
      <c r="B33" s="142" t="s">
        <v>188</v>
      </c>
      <c r="C33" s="281">
        <v>417</v>
      </c>
      <c r="D33" s="281">
        <v>3498</v>
      </c>
      <c r="E33" s="281">
        <v>0</v>
      </c>
      <c r="F33" s="281">
        <v>0</v>
      </c>
      <c r="G33" s="281">
        <v>0</v>
      </c>
      <c r="H33" s="281">
        <v>0</v>
      </c>
      <c r="I33" s="281">
        <v>0</v>
      </c>
      <c r="J33" s="281">
        <v>0</v>
      </c>
      <c r="K33" s="281">
        <v>0</v>
      </c>
      <c r="L33" s="281">
        <v>0</v>
      </c>
      <c r="M33" s="281">
        <v>0</v>
      </c>
      <c r="N33" s="281">
        <v>0</v>
      </c>
      <c r="O33" s="142">
        <f t="shared" si="0"/>
        <v>0</v>
      </c>
      <c r="P33" s="142">
        <f t="shared" si="1"/>
        <v>0</v>
      </c>
      <c r="Q33" s="306">
        <f t="shared" si="2"/>
        <v>0</v>
      </c>
      <c r="R33" s="305"/>
      <c r="S33" s="305"/>
      <c r="T33" s="305"/>
      <c r="U33" s="305"/>
    </row>
    <row r="34" spans="1:21" ht="13.5" customHeight="1" x14ac:dyDescent="0.15">
      <c r="A34" s="210">
        <v>28</v>
      </c>
      <c r="B34" s="142" t="s">
        <v>67</v>
      </c>
      <c r="C34" s="281">
        <v>7861</v>
      </c>
      <c r="D34" s="281">
        <v>46941</v>
      </c>
      <c r="E34" s="281">
        <v>371</v>
      </c>
      <c r="F34" s="281">
        <v>5609.47</v>
      </c>
      <c r="G34" s="281">
        <v>218</v>
      </c>
      <c r="H34" s="281">
        <v>11040.32</v>
      </c>
      <c r="I34" s="281">
        <v>127</v>
      </c>
      <c r="J34" s="281">
        <v>8364.77</v>
      </c>
      <c r="K34" s="281">
        <v>0</v>
      </c>
      <c r="L34" s="281">
        <v>0</v>
      </c>
      <c r="M34" s="281">
        <v>0</v>
      </c>
      <c r="N34" s="281">
        <v>0</v>
      </c>
      <c r="O34" s="142">
        <f t="shared" si="0"/>
        <v>716</v>
      </c>
      <c r="P34" s="142">
        <f t="shared" si="1"/>
        <v>25014.560000000001</v>
      </c>
      <c r="Q34" s="306">
        <f t="shared" si="2"/>
        <v>53.289363243220215</v>
      </c>
      <c r="R34" s="305"/>
      <c r="S34" s="305"/>
      <c r="T34" s="305"/>
      <c r="U34" s="305"/>
    </row>
    <row r="35" spans="1:21" ht="13.5" customHeight="1" x14ac:dyDescent="0.15">
      <c r="A35" s="210">
        <v>29</v>
      </c>
      <c r="B35" s="142" t="s">
        <v>189</v>
      </c>
      <c r="C35" s="281">
        <v>312</v>
      </c>
      <c r="D35" s="281">
        <v>2799</v>
      </c>
      <c r="E35" s="281">
        <v>15</v>
      </c>
      <c r="F35" s="281">
        <v>384</v>
      </c>
      <c r="G35" s="281">
        <v>0</v>
      </c>
      <c r="H35" s="281">
        <v>0</v>
      </c>
      <c r="I35" s="281">
        <v>0</v>
      </c>
      <c r="J35" s="281">
        <v>0</v>
      </c>
      <c r="K35" s="281">
        <v>0</v>
      </c>
      <c r="L35" s="281">
        <v>0</v>
      </c>
      <c r="M35" s="281">
        <v>33</v>
      </c>
      <c r="N35" s="281">
        <v>451</v>
      </c>
      <c r="O35" s="142">
        <f t="shared" si="0"/>
        <v>48</v>
      </c>
      <c r="P35" s="142">
        <f t="shared" si="1"/>
        <v>835</v>
      </c>
      <c r="Q35" s="306">
        <f t="shared" si="2"/>
        <v>29.832082886745265</v>
      </c>
      <c r="R35" s="305"/>
      <c r="S35" s="305"/>
      <c r="T35" s="305"/>
      <c r="U35" s="305"/>
    </row>
    <row r="36" spans="1:21" ht="13.5" customHeight="1" x14ac:dyDescent="0.15">
      <c r="A36" s="210">
        <v>30</v>
      </c>
      <c r="B36" s="142" t="s">
        <v>190</v>
      </c>
      <c r="C36" s="281">
        <v>1682</v>
      </c>
      <c r="D36" s="281">
        <v>10415</v>
      </c>
      <c r="E36" s="281">
        <v>2711</v>
      </c>
      <c r="F36" s="281">
        <v>807</v>
      </c>
      <c r="G36" s="281">
        <v>6</v>
      </c>
      <c r="H36" s="281">
        <v>799</v>
      </c>
      <c r="I36" s="281">
        <v>0</v>
      </c>
      <c r="J36" s="281">
        <v>0</v>
      </c>
      <c r="K36" s="281">
        <v>0</v>
      </c>
      <c r="L36" s="281">
        <v>0</v>
      </c>
      <c r="M36" s="281">
        <v>0</v>
      </c>
      <c r="N36" s="281">
        <v>0</v>
      </c>
      <c r="O36" s="142">
        <f t="shared" si="0"/>
        <v>2717</v>
      </c>
      <c r="P36" s="142">
        <f t="shared" si="1"/>
        <v>1606</v>
      </c>
      <c r="Q36" s="306">
        <f t="shared" si="2"/>
        <v>15.42006721075372</v>
      </c>
      <c r="R36" s="305"/>
      <c r="S36" s="305"/>
      <c r="T36" s="305"/>
      <c r="U36" s="305"/>
    </row>
    <row r="37" spans="1:21" ht="13.5" customHeight="1" x14ac:dyDescent="0.15">
      <c r="A37" s="210">
        <v>31</v>
      </c>
      <c r="B37" s="142" t="s">
        <v>191</v>
      </c>
      <c r="C37" s="281">
        <v>568</v>
      </c>
      <c r="D37" s="281">
        <v>4212</v>
      </c>
      <c r="E37" s="281">
        <v>20</v>
      </c>
      <c r="F37" s="281">
        <v>110</v>
      </c>
      <c r="G37" s="281">
        <v>13</v>
      </c>
      <c r="H37" s="281">
        <v>535</v>
      </c>
      <c r="I37" s="281">
        <v>7</v>
      </c>
      <c r="J37" s="281">
        <v>453</v>
      </c>
      <c r="K37" s="281">
        <v>0</v>
      </c>
      <c r="L37" s="281">
        <v>0</v>
      </c>
      <c r="M37" s="281">
        <v>0</v>
      </c>
      <c r="N37" s="281">
        <v>0</v>
      </c>
      <c r="O37" s="142">
        <f t="shared" si="0"/>
        <v>40</v>
      </c>
      <c r="P37" s="142">
        <f t="shared" si="1"/>
        <v>1098</v>
      </c>
      <c r="Q37" s="306">
        <f t="shared" si="2"/>
        <v>26.068376068376068</v>
      </c>
      <c r="R37" s="305"/>
      <c r="S37" s="305"/>
      <c r="T37" s="305"/>
      <c r="U37" s="305"/>
    </row>
    <row r="38" spans="1:21" ht="13.5" customHeight="1" x14ac:dyDescent="0.15">
      <c r="A38" s="210">
        <v>32</v>
      </c>
      <c r="B38" s="142" t="s">
        <v>71</v>
      </c>
      <c r="C38" s="281">
        <v>119</v>
      </c>
      <c r="D38" s="281">
        <v>1444</v>
      </c>
      <c r="E38" s="281">
        <v>0</v>
      </c>
      <c r="F38" s="281">
        <v>0</v>
      </c>
      <c r="G38" s="281">
        <v>0</v>
      </c>
      <c r="H38" s="281">
        <v>0</v>
      </c>
      <c r="I38" s="281">
        <v>0</v>
      </c>
      <c r="J38" s="281">
        <v>0</v>
      </c>
      <c r="K38" s="281">
        <v>0</v>
      </c>
      <c r="L38" s="281">
        <v>0</v>
      </c>
      <c r="M38" s="281">
        <v>0</v>
      </c>
      <c r="N38" s="281">
        <v>0</v>
      </c>
      <c r="O38" s="142">
        <f t="shared" si="0"/>
        <v>0</v>
      </c>
      <c r="P38" s="142">
        <f t="shared" si="1"/>
        <v>0</v>
      </c>
      <c r="Q38" s="306">
        <f t="shared" si="2"/>
        <v>0</v>
      </c>
      <c r="R38" s="305"/>
      <c r="S38" s="305"/>
      <c r="T38" s="305"/>
      <c r="U38" s="305"/>
    </row>
    <row r="39" spans="1:21" ht="13.5" customHeight="1" x14ac:dyDescent="0.15">
      <c r="A39" s="210">
        <v>33</v>
      </c>
      <c r="B39" s="142" t="s">
        <v>192</v>
      </c>
      <c r="C39" s="281">
        <v>87</v>
      </c>
      <c r="D39" s="281">
        <v>500</v>
      </c>
      <c r="E39" s="281">
        <v>106</v>
      </c>
      <c r="F39" s="281">
        <v>940</v>
      </c>
      <c r="G39" s="281">
        <v>25</v>
      </c>
      <c r="H39" s="281">
        <v>632</v>
      </c>
      <c r="I39" s="281">
        <v>3</v>
      </c>
      <c r="J39" s="281">
        <v>605</v>
      </c>
      <c r="K39" s="281">
        <v>0</v>
      </c>
      <c r="L39" s="281">
        <v>0</v>
      </c>
      <c r="M39" s="281">
        <v>0</v>
      </c>
      <c r="N39" s="281">
        <v>0</v>
      </c>
      <c r="O39" s="142">
        <f t="shared" si="0"/>
        <v>134</v>
      </c>
      <c r="P39" s="142">
        <f t="shared" si="1"/>
        <v>2177</v>
      </c>
      <c r="Q39" s="306">
        <f t="shared" si="2"/>
        <v>435.4</v>
      </c>
      <c r="R39" s="305"/>
      <c r="S39" s="305"/>
      <c r="T39" s="305"/>
      <c r="U39" s="305"/>
    </row>
    <row r="40" spans="1:21" ht="13.5" customHeight="1" x14ac:dyDescent="0.15">
      <c r="A40" s="210">
        <v>34</v>
      </c>
      <c r="B40" s="142" t="s">
        <v>70</v>
      </c>
      <c r="C40" s="281">
        <v>3992</v>
      </c>
      <c r="D40" s="281">
        <v>23903</v>
      </c>
      <c r="E40" s="281">
        <v>403</v>
      </c>
      <c r="F40" s="281">
        <v>8155</v>
      </c>
      <c r="G40" s="281">
        <v>217</v>
      </c>
      <c r="H40" s="281">
        <v>15335</v>
      </c>
      <c r="I40" s="281">
        <v>72</v>
      </c>
      <c r="J40" s="281">
        <v>3214</v>
      </c>
      <c r="K40" s="281">
        <v>0</v>
      </c>
      <c r="L40" s="281">
        <v>0</v>
      </c>
      <c r="M40" s="281">
        <v>0</v>
      </c>
      <c r="N40" s="281">
        <v>0</v>
      </c>
      <c r="O40" s="142">
        <f t="shared" si="0"/>
        <v>692</v>
      </c>
      <c r="P40" s="142">
        <f t="shared" si="1"/>
        <v>26704</v>
      </c>
      <c r="Q40" s="306">
        <f t="shared" si="2"/>
        <v>111.71819436890767</v>
      </c>
      <c r="R40" s="305"/>
      <c r="S40" s="305"/>
      <c r="T40" s="305"/>
      <c r="U40" s="305"/>
    </row>
    <row r="41" spans="1:21" s="49" customFormat="1" ht="13.5" customHeight="1" x14ac:dyDescent="0.15">
      <c r="A41" s="291"/>
      <c r="B41" s="139" t="s">
        <v>213</v>
      </c>
      <c r="C41" s="282">
        <f>SUM(C19:C40)</f>
        <v>96605</v>
      </c>
      <c r="D41" s="282">
        <f t="shared" ref="D41:N41" si="4">SUM(D19:D40)</f>
        <v>668871</v>
      </c>
      <c r="E41" s="282">
        <f t="shared" si="4"/>
        <v>54536</v>
      </c>
      <c r="F41" s="282">
        <f t="shared" si="4"/>
        <v>223000.6</v>
      </c>
      <c r="G41" s="282">
        <f t="shared" si="4"/>
        <v>3074</v>
      </c>
      <c r="H41" s="282">
        <f t="shared" si="4"/>
        <v>193134.96</v>
      </c>
      <c r="I41" s="282">
        <f t="shared" si="4"/>
        <v>888</v>
      </c>
      <c r="J41" s="282">
        <f t="shared" si="4"/>
        <v>101625.82</v>
      </c>
      <c r="K41" s="282">
        <f t="shared" si="4"/>
        <v>10</v>
      </c>
      <c r="L41" s="282">
        <f t="shared" si="4"/>
        <v>640</v>
      </c>
      <c r="M41" s="282">
        <f t="shared" si="4"/>
        <v>33</v>
      </c>
      <c r="N41" s="282">
        <f t="shared" si="4"/>
        <v>451</v>
      </c>
      <c r="O41" s="139">
        <f t="shared" si="0"/>
        <v>58541</v>
      </c>
      <c r="P41" s="139">
        <f t="shared" si="1"/>
        <v>518852.38</v>
      </c>
      <c r="Q41" s="242">
        <f t="shared" si="2"/>
        <v>77.571367274108155</v>
      </c>
      <c r="R41" s="305"/>
      <c r="S41" s="305"/>
      <c r="T41" s="305"/>
      <c r="U41" s="305"/>
    </row>
    <row r="42" spans="1:21" s="49" customFormat="1" ht="13.5" customHeight="1" x14ac:dyDescent="0.15">
      <c r="A42" s="291"/>
      <c r="B42" s="139" t="s">
        <v>311</v>
      </c>
      <c r="C42" s="282">
        <f>C41+C18</f>
        <v>532270</v>
      </c>
      <c r="D42" s="282">
        <f t="shared" ref="D42:N42" si="5">D41+D18</f>
        <v>3214611</v>
      </c>
      <c r="E42" s="282">
        <f t="shared" si="5"/>
        <v>136743</v>
      </c>
      <c r="F42" s="282">
        <f t="shared" si="5"/>
        <v>582399.18000000005</v>
      </c>
      <c r="G42" s="282">
        <f t="shared" si="5"/>
        <v>13909</v>
      </c>
      <c r="H42" s="282">
        <f t="shared" si="5"/>
        <v>695684.71</v>
      </c>
      <c r="I42" s="282">
        <f t="shared" si="5"/>
        <v>1318</v>
      </c>
      <c r="J42" s="282">
        <f t="shared" si="5"/>
        <v>167826.28</v>
      </c>
      <c r="K42" s="282">
        <f t="shared" si="5"/>
        <v>1134</v>
      </c>
      <c r="L42" s="282">
        <f t="shared" si="5"/>
        <v>3905</v>
      </c>
      <c r="M42" s="282">
        <f t="shared" si="5"/>
        <v>402</v>
      </c>
      <c r="N42" s="282">
        <f t="shared" si="5"/>
        <v>7731</v>
      </c>
      <c r="O42" s="139">
        <f t="shared" si="0"/>
        <v>153506</v>
      </c>
      <c r="P42" s="139">
        <f t="shared" si="1"/>
        <v>1457546.1700000002</v>
      </c>
      <c r="Q42" s="242">
        <f t="shared" si="2"/>
        <v>45.341292305663117</v>
      </c>
      <c r="R42" s="305"/>
      <c r="S42" s="305"/>
      <c r="T42" s="305"/>
      <c r="U42" s="305"/>
    </row>
    <row r="43" spans="1:21" ht="13.5" customHeight="1" x14ac:dyDescent="0.15">
      <c r="A43" s="210">
        <v>35</v>
      </c>
      <c r="B43" s="142" t="s">
        <v>193</v>
      </c>
      <c r="C43" s="281">
        <v>26524</v>
      </c>
      <c r="D43" s="281">
        <v>95796</v>
      </c>
      <c r="E43" s="281">
        <v>8578</v>
      </c>
      <c r="F43" s="281">
        <v>7443</v>
      </c>
      <c r="G43" s="281">
        <v>0</v>
      </c>
      <c r="H43" s="281">
        <v>0</v>
      </c>
      <c r="I43" s="281">
        <v>0</v>
      </c>
      <c r="J43" s="281">
        <v>0</v>
      </c>
      <c r="K43" s="281">
        <v>68</v>
      </c>
      <c r="L43" s="281">
        <v>331</v>
      </c>
      <c r="M43" s="281">
        <v>0</v>
      </c>
      <c r="N43" s="281">
        <v>0</v>
      </c>
      <c r="O43" s="142">
        <f t="shared" si="0"/>
        <v>8646</v>
      </c>
      <c r="P43" s="142">
        <f t="shared" si="1"/>
        <v>7774</v>
      </c>
      <c r="Q43" s="306">
        <f t="shared" si="2"/>
        <v>8.1151613846089603</v>
      </c>
      <c r="R43" s="305"/>
      <c r="S43" s="305"/>
      <c r="T43" s="305"/>
      <c r="U43" s="305"/>
    </row>
    <row r="44" spans="1:21" ht="13.5" customHeight="1" x14ac:dyDescent="0.15">
      <c r="A44" s="210">
        <v>36</v>
      </c>
      <c r="B44" s="142" t="s">
        <v>382</v>
      </c>
      <c r="C44" s="281">
        <v>11238</v>
      </c>
      <c r="D44" s="281">
        <v>54292</v>
      </c>
      <c r="E44" s="281">
        <v>2815</v>
      </c>
      <c r="F44" s="281">
        <v>29874.29</v>
      </c>
      <c r="G44" s="281">
        <v>0</v>
      </c>
      <c r="H44" s="281">
        <v>0</v>
      </c>
      <c r="I44" s="281">
        <v>0</v>
      </c>
      <c r="J44" s="281">
        <v>0</v>
      </c>
      <c r="K44" s="281">
        <v>0</v>
      </c>
      <c r="L44" s="281">
        <v>0</v>
      </c>
      <c r="M44" s="281">
        <v>0</v>
      </c>
      <c r="N44" s="281">
        <v>0</v>
      </c>
      <c r="O44" s="142">
        <f t="shared" si="0"/>
        <v>2815</v>
      </c>
      <c r="P44" s="142">
        <f t="shared" si="1"/>
        <v>29874.29</v>
      </c>
      <c r="Q44" s="306">
        <f t="shared" si="2"/>
        <v>55.025215501363</v>
      </c>
      <c r="R44" s="305"/>
      <c r="S44" s="305"/>
      <c r="T44" s="305"/>
      <c r="U44" s="305"/>
    </row>
    <row r="45" spans="1:21" s="49" customFormat="1" ht="13.5" customHeight="1" x14ac:dyDescent="0.15">
      <c r="A45" s="291"/>
      <c r="B45" s="139" t="s">
        <v>216</v>
      </c>
      <c r="C45" s="282">
        <f>SUM(C43:C44)</f>
        <v>37762</v>
      </c>
      <c r="D45" s="282">
        <f t="shared" ref="D45:N45" si="6">SUM(D43:D44)</f>
        <v>150088</v>
      </c>
      <c r="E45" s="282">
        <f t="shared" si="6"/>
        <v>11393</v>
      </c>
      <c r="F45" s="282">
        <f t="shared" si="6"/>
        <v>37317.29</v>
      </c>
      <c r="G45" s="282">
        <f t="shared" si="6"/>
        <v>0</v>
      </c>
      <c r="H45" s="282">
        <f t="shared" si="6"/>
        <v>0</v>
      </c>
      <c r="I45" s="282">
        <f t="shared" si="6"/>
        <v>0</v>
      </c>
      <c r="J45" s="282">
        <f t="shared" si="6"/>
        <v>0</v>
      </c>
      <c r="K45" s="282">
        <f t="shared" si="6"/>
        <v>68</v>
      </c>
      <c r="L45" s="282">
        <f t="shared" si="6"/>
        <v>331</v>
      </c>
      <c r="M45" s="282">
        <f t="shared" si="6"/>
        <v>0</v>
      </c>
      <c r="N45" s="282">
        <f t="shared" si="6"/>
        <v>0</v>
      </c>
      <c r="O45" s="139">
        <f t="shared" si="0"/>
        <v>11461</v>
      </c>
      <c r="P45" s="139">
        <f t="shared" si="1"/>
        <v>37648.29</v>
      </c>
      <c r="Q45" s="242">
        <f t="shared" si="2"/>
        <v>25.084143968871594</v>
      </c>
      <c r="R45" s="305"/>
      <c r="S45" s="305"/>
      <c r="T45" s="305"/>
      <c r="U45" s="305"/>
    </row>
    <row r="46" spans="1:21" ht="13.5" customHeight="1" x14ac:dyDescent="0.15">
      <c r="A46" s="210">
        <v>37</v>
      </c>
      <c r="B46" s="142" t="s">
        <v>312</v>
      </c>
      <c r="C46" s="281">
        <v>7397</v>
      </c>
      <c r="D46" s="281">
        <v>53328</v>
      </c>
      <c r="E46" s="281">
        <v>19</v>
      </c>
      <c r="F46" s="281">
        <v>105</v>
      </c>
      <c r="G46" s="281">
        <v>0</v>
      </c>
      <c r="H46" s="281">
        <v>0</v>
      </c>
      <c r="I46" s="281">
        <v>2</v>
      </c>
      <c r="J46" s="281">
        <v>4361</v>
      </c>
      <c r="K46" s="281">
        <v>0</v>
      </c>
      <c r="L46" s="281">
        <v>0</v>
      </c>
      <c r="M46" s="281">
        <v>4</v>
      </c>
      <c r="N46" s="281">
        <v>180169</v>
      </c>
      <c r="O46" s="142">
        <f t="shared" si="0"/>
        <v>25</v>
      </c>
      <c r="P46" s="142">
        <f t="shared" si="1"/>
        <v>184635</v>
      </c>
      <c r="Q46" s="306">
        <f t="shared" si="2"/>
        <v>346.22524752475249</v>
      </c>
      <c r="R46" s="305"/>
      <c r="S46" s="305"/>
      <c r="T46" s="305"/>
      <c r="U46" s="305"/>
    </row>
    <row r="47" spans="1:21" s="49" customFormat="1" ht="13.5" customHeight="1" x14ac:dyDescent="0.15">
      <c r="A47" s="291"/>
      <c r="B47" s="139" t="s">
        <v>214</v>
      </c>
      <c r="C47" s="282">
        <f>C46</f>
        <v>7397</v>
      </c>
      <c r="D47" s="282">
        <f t="shared" ref="D47:N47" si="7">D46</f>
        <v>53328</v>
      </c>
      <c r="E47" s="282">
        <f t="shared" si="7"/>
        <v>19</v>
      </c>
      <c r="F47" s="282">
        <f t="shared" si="7"/>
        <v>105</v>
      </c>
      <c r="G47" s="282">
        <f t="shared" si="7"/>
        <v>0</v>
      </c>
      <c r="H47" s="282">
        <f t="shared" si="7"/>
        <v>0</v>
      </c>
      <c r="I47" s="282">
        <f t="shared" si="7"/>
        <v>2</v>
      </c>
      <c r="J47" s="282">
        <f t="shared" si="7"/>
        <v>4361</v>
      </c>
      <c r="K47" s="282">
        <f t="shared" si="7"/>
        <v>0</v>
      </c>
      <c r="L47" s="282">
        <f t="shared" si="7"/>
        <v>0</v>
      </c>
      <c r="M47" s="282">
        <f t="shared" si="7"/>
        <v>4</v>
      </c>
      <c r="N47" s="282">
        <f t="shared" si="7"/>
        <v>180169</v>
      </c>
      <c r="O47" s="139">
        <f t="shared" si="0"/>
        <v>25</v>
      </c>
      <c r="P47" s="139">
        <f t="shared" si="1"/>
        <v>184635</v>
      </c>
      <c r="Q47" s="242">
        <f t="shared" si="2"/>
        <v>346.22524752475249</v>
      </c>
      <c r="R47" s="305"/>
      <c r="S47" s="305"/>
      <c r="T47" s="305"/>
      <c r="U47" s="305"/>
    </row>
    <row r="48" spans="1:21" s="49" customFormat="1" ht="13.5" customHeight="1" x14ac:dyDescent="0.15">
      <c r="A48" s="210">
        <v>38</v>
      </c>
      <c r="B48" s="142" t="s">
        <v>304</v>
      </c>
      <c r="C48" s="281">
        <v>5879</v>
      </c>
      <c r="D48" s="281">
        <v>37883</v>
      </c>
      <c r="E48" s="281">
        <v>2559</v>
      </c>
      <c r="F48" s="281">
        <v>4303.68</v>
      </c>
      <c r="G48" s="281">
        <v>404</v>
      </c>
      <c r="H48" s="281">
        <v>1334.3</v>
      </c>
      <c r="I48" s="281">
        <v>1</v>
      </c>
      <c r="J48" s="281">
        <v>500</v>
      </c>
      <c r="K48" s="281">
        <v>0</v>
      </c>
      <c r="L48" s="281">
        <v>0</v>
      </c>
      <c r="M48" s="281">
        <v>0</v>
      </c>
      <c r="N48" s="281">
        <v>0</v>
      </c>
      <c r="O48" s="142">
        <f t="shared" si="0"/>
        <v>2964</v>
      </c>
      <c r="P48" s="142">
        <f t="shared" si="1"/>
        <v>6137.9800000000005</v>
      </c>
      <c r="Q48" s="306">
        <f t="shared" si="2"/>
        <v>16.202465485837976</v>
      </c>
      <c r="R48" s="305"/>
      <c r="S48" s="305"/>
      <c r="T48" s="305"/>
      <c r="U48" s="305"/>
    </row>
    <row r="49" spans="1:21" ht="13.5" customHeight="1" x14ac:dyDescent="0.15">
      <c r="A49" s="210">
        <v>39</v>
      </c>
      <c r="B49" s="142" t="s">
        <v>305</v>
      </c>
      <c r="C49" s="224">
        <v>2176</v>
      </c>
      <c r="D49" s="224">
        <v>13342</v>
      </c>
      <c r="E49" s="224">
        <v>59</v>
      </c>
      <c r="F49" s="224">
        <v>270</v>
      </c>
      <c r="G49" s="224">
        <v>2</v>
      </c>
      <c r="H49" s="224">
        <v>11</v>
      </c>
      <c r="I49" s="224">
        <v>0</v>
      </c>
      <c r="J49" s="224">
        <v>0</v>
      </c>
      <c r="K49" s="224">
        <v>0</v>
      </c>
      <c r="L49" s="224">
        <v>0</v>
      </c>
      <c r="M49" s="224">
        <v>0</v>
      </c>
      <c r="N49" s="224">
        <v>0</v>
      </c>
      <c r="O49" s="142">
        <f t="shared" si="0"/>
        <v>61</v>
      </c>
      <c r="P49" s="142">
        <f t="shared" si="1"/>
        <v>281</v>
      </c>
      <c r="Q49" s="306">
        <f t="shared" si="2"/>
        <v>2.1061310148403538</v>
      </c>
      <c r="R49" s="305"/>
      <c r="S49" s="305"/>
      <c r="T49" s="305"/>
      <c r="U49" s="305"/>
    </row>
    <row r="50" spans="1:21" s="177" customFormat="1" ht="13.5" customHeight="1" x14ac:dyDescent="0.15">
      <c r="A50" s="211">
        <v>40</v>
      </c>
      <c r="B50" s="204" t="s">
        <v>383</v>
      </c>
      <c r="C50" s="281">
        <v>369</v>
      </c>
      <c r="D50" s="281">
        <v>2561</v>
      </c>
      <c r="E50" s="281">
        <v>3354</v>
      </c>
      <c r="F50" s="281">
        <v>1376.39</v>
      </c>
      <c r="G50" s="281">
        <v>0</v>
      </c>
      <c r="H50" s="281">
        <v>0</v>
      </c>
      <c r="I50" s="281">
        <v>0</v>
      </c>
      <c r="J50" s="281">
        <v>0</v>
      </c>
      <c r="K50" s="281">
        <v>0</v>
      </c>
      <c r="L50" s="281">
        <v>0</v>
      </c>
      <c r="M50" s="281">
        <v>0</v>
      </c>
      <c r="N50" s="281">
        <v>0</v>
      </c>
      <c r="O50" s="142">
        <f t="shared" si="0"/>
        <v>3354</v>
      </c>
      <c r="P50" s="142">
        <f t="shared" si="1"/>
        <v>1376.39</v>
      </c>
      <c r="Q50" s="306">
        <f t="shared" si="2"/>
        <v>53.744240531042564</v>
      </c>
      <c r="R50" s="305"/>
      <c r="S50" s="305"/>
      <c r="T50" s="305"/>
      <c r="U50" s="305"/>
    </row>
    <row r="51" spans="1:21" s="178" customFormat="1" ht="13.5" customHeight="1" x14ac:dyDescent="0.15">
      <c r="A51" s="211">
        <v>41</v>
      </c>
      <c r="B51" s="204" t="s">
        <v>306</v>
      </c>
      <c r="C51" s="281">
        <v>1359</v>
      </c>
      <c r="D51" s="281">
        <v>8186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J51" s="281">
        <v>0</v>
      </c>
      <c r="K51" s="281">
        <v>0</v>
      </c>
      <c r="L51" s="281">
        <v>0</v>
      </c>
      <c r="M51" s="281">
        <v>0</v>
      </c>
      <c r="N51" s="281">
        <v>0</v>
      </c>
      <c r="O51" s="142">
        <f t="shared" si="0"/>
        <v>0</v>
      </c>
      <c r="P51" s="142">
        <f t="shared" si="1"/>
        <v>0</v>
      </c>
      <c r="Q51" s="306">
        <f t="shared" si="2"/>
        <v>0</v>
      </c>
      <c r="R51" s="305"/>
      <c r="S51" s="305"/>
      <c r="T51" s="305"/>
      <c r="U51" s="305"/>
    </row>
    <row r="52" spans="1:21" ht="13.5" customHeight="1" x14ac:dyDescent="0.15">
      <c r="A52" s="210">
        <v>42</v>
      </c>
      <c r="B52" s="142" t="s">
        <v>307</v>
      </c>
      <c r="C52" s="281">
        <v>981</v>
      </c>
      <c r="D52" s="281">
        <v>5952</v>
      </c>
      <c r="E52" s="281">
        <v>876</v>
      </c>
      <c r="F52" s="281">
        <v>275</v>
      </c>
      <c r="G52" s="281">
        <v>1</v>
      </c>
      <c r="H52" s="281">
        <v>13</v>
      </c>
      <c r="I52" s="281">
        <v>0</v>
      </c>
      <c r="J52" s="281">
        <v>0</v>
      </c>
      <c r="K52" s="281">
        <v>0</v>
      </c>
      <c r="L52" s="281">
        <v>0</v>
      </c>
      <c r="M52" s="281">
        <v>0</v>
      </c>
      <c r="N52" s="281">
        <v>0</v>
      </c>
      <c r="O52" s="142">
        <f t="shared" si="0"/>
        <v>877</v>
      </c>
      <c r="P52" s="142">
        <f t="shared" si="1"/>
        <v>288</v>
      </c>
      <c r="Q52" s="306">
        <f t="shared" si="2"/>
        <v>4.838709677419355</v>
      </c>
      <c r="R52" s="305"/>
      <c r="S52" s="305"/>
      <c r="T52" s="305"/>
      <c r="U52" s="305"/>
    </row>
    <row r="53" spans="1:21" s="49" customFormat="1" ht="13.5" customHeight="1" x14ac:dyDescent="0.15">
      <c r="A53" s="210">
        <v>43</v>
      </c>
      <c r="B53" s="142" t="s">
        <v>308</v>
      </c>
      <c r="C53" s="281">
        <v>837</v>
      </c>
      <c r="D53" s="281">
        <v>5868</v>
      </c>
      <c r="E53" s="281">
        <v>99</v>
      </c>
      <c r="F53" s="281">
        <v>74.25</v>
      </c>
      <c r="G53" s="281">
        <v>1</v>
      </c>
      <c r="H53" s="281">
        <v>9.1999999999999993</v>
      </c>
      <c r="I53" s="281">
        <v>0</v>
      </c>
      <c r="J53" s="281">
        <v>0</v>
      </c>
      <c r="K53" s="281">
        <v>0</v>
      </c>
      <c r="L53" s="281">
        <v>0</v>
      </c>
      <c r="M53" s="281">
        <v>0</v>
      </c>
      <c r="N53" s="281">
        <v>0</v>
      </c>
      <c r="O53" s="142">
        <f t="shared" si="0"/>
        <v>100</v>
      </c>
      <c r="P53" s="142">
        <f t="shared" si="1"/>
        <v>83.45</v>
      </c>
      <c r="Q53" s="306">
        <f t="shared" si="2"/>
        <v>1.4221199727334697</v>
      </c>
      <c r="R53" s="305"/>
      <c r="S53" s="305"/>
      <c r="T53" s="305"/>
      <c r="U53" s="305"/>
    </row>
    <row r="54" spans="1:21" ht="13.5" customHeight="1" x14ac:dyDescent="0.15">
      <c r="A54" s="210">
        <v>44</v>
      </c>
      <c r="B54" s="142" t="s">
        <v>300</v>
      </c>
      <c r="C54" s="281">
        <v>861</v>
      </c>
      <c r="D54" s="281">
        <v>5317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J54" s="281">
        <v>0</v>
      </c>
      <c r="K54" s="281">
        <v>0</v>
      </c>
      <c r="L54" s="281">
        <v>0</v>
      </c>
      <c r="M54" s="281">
        <v>0</v>
      </c>
      <c r="N54" s="281">
        <v>0</v>
      </c>
      <c r="O54" s="142">
        <f t="shared" si="0"/>
        <v>0</v>
      </c>
      <c r="P54" s="142">
        <f t="shared" si="1"/>
        <v>0</v>
      </c>
      <c r="Q54" s="306">
        <f t="shared" si="2"/>
        <v>0</v>
      </c>
      <c r="R54" s="305"/>
      <c r="S54" s="305"/>
      <c r="T54" s="305"/>
      <c r="U54" s="305"/>
    </row>
    <row r="55" spans="1:21" ht="13.5" customHeight="1" x14ac:dyDescent="0.15">
      <c r="A55" s="210">
        <v>45</v>
      </c>
      <c r="B55" s="142" t="s">
        <v>309</v>
      </c>
      <c r="C55" s="281">
        <v>901</v>
      </c>
      <c r="D55" s="281">
        <v>3780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J55" s="281">
        <v>0</v>
      </c>
      <c r="K55" s="281">
        <v>0</v>
      </c>
      <c r="L55" s="281">
        <v>0</v>
      </c>
      <c r="M55" s="281">
        <v>0</v>
      </c>
      <c r="N55" s="281">
        <v>0</v>
      </c>
      <c r="O55" s="142">
        <f t="shared" si="0"/>
        <v>0</v>
      </c>
      <c r="P55" s="142">
        <f t="shared" si="1"/>
        <v>0</v>
      </c>
      <c r="Q55" s="306">
        <f t="shared" si="2"/>
        <v>0</v>
      </c>
      <c r="R55" s="305"/>
      <c r="S55" s="305"/>
      <c r="T55" s="305"/>
      <c r="U55" s="305"/>
    </row>
    <row r="56" spans="1:21" s="49" customFormat="1" ht="13.5" customHeight="1" x14ac:dyDescent="0.15">
      <c r="A56" s="291"/>
      <c r="B56" s="139" t="s">
        <v>310</v>
      </c>
      <c r="C56" s="282">
        <f>SUM(C48:C55)</f>
        <v>13363</v>
      </c>
      <c r="D56" s="282">
        <f t="shared" ref="D56:N56" si="8">SUM(D48:D55)</f>
        <v>82889</v>
      </c>
      <c r="E56" s="282">
        <f t="shared" si="8"/>
        <v>6947</v>
      </c>
      <c r="F56" s="282">
        <f t="shared" si="8"/>
        <v>6299.3200000000006</v>
      </c>
      <c r="G56" s="282">
        <f t="shared" si="8"/>
        <v>408</v>
      </c>
      <c r="H56" s="282">
        <f t="shared" si="8"/>
        <v>1367.5</v>
      </c>
      <c r="I56" s="282">
        <f t="shared" si="8"/>
        <v>1</v>
      </c>
      <c r="J56" s="282">
        <f t="shared" si="8"/>
        <v>500</v>
      </c>
      <c r="K56" s="282">
        <f t="shared" si="8"/>
        <v>0</v>
      </c>
      <c r="L56" s="282">
        <f t="shared" si="8"/>
        <v>0</v>
      </c>
      <c r="M56" s="282">
        <f t="shared" si="8"/>
        <v>0</v>
      </c>
      <c r="N56" s="282">
        <f t="shared" si="8"/>
        <v>0</v>
      </c>
      <c r="O56" s="139">
        <f t="shared" si="0"/>
        <v>7356</v>
      </c>
      <c r="P56" s="139">
        <f t="shared" si="1"/>
        <v>8166.8200000000006</v>
      </c>
      <c r="Q56" s="242">
        <f t="shared" si="2"/>
        <v>9.8527186960875408</v>
      </c>
      <c r="R56" s="305"/>
      <c r="S56" s="305"/>
      <c r="T56" s="305"/>
      <c r="U56" s="305"/>
    </row>
    <row r="57" spans="1:21" s="49" customFormat="1" ht="13.5" customHeight="1" x14ac:dyDescent="0.15">
      <c r="A57" s="139"/>
      <c r="B57" s="139" t="s">
        <v>0</v>
      </c>
      <c r="C57" s="282">
        <f>C56+C47+C45+C42</f>
        <v>590792</v>
      </c>
      <c r="D57" s="282">
        <f t="shared" ref="D57:N57" si="9">D56+D47+D45+D42</f>
        <v>3500916</v>
      </c>
      <c r="E57" s="282">
        <f t="shared" si="9"/>
        <v>155102</v>
      </c>
      <c r="F57" s="282">
        <f t="shared" si="9"/>
        <v>626120.79</v>
      </c>
      <c r="G57" s="282">
        <f t="shared" si="9"/>
        <v>14317</v>
      </c>
      <c r="H57" s="282">
        <f t="shared" si="9"/>
        <v>697052.21</v>
      </c>
      <c r="I57" s="282">
        <f t="shared" si="9"/>
        <v>1321</v>
      </c>
      <c r="J57" s="282">
        <f t="shared" si="9"/>
        <v>172687.28</v>
      </c>
      <c r="K57" s="282">
        <f t="shared" si="9"/>
        <v>1202</v>
      </c>
      <c r="L57" s="282">
        <f t="shared" si="9"/>
        <v>4236</v>
      </c>
      <c r="M57" s="282">
        <f t="shared" si="9"/>
        <v>406</v>
      </c>
      <c r="N57" s="282">
        <f t="shared" si="9"/>
        <v>187900</v>
      </c>
      <c r="O57" s="139">
        <f t="shared" si="0"/>
        <v>172348</v>
      </c>
      <c r="P57" s="139">
        <f t="shared" si="1"/>
        <v>1687996.28</v>
      </c>
      <c r="Q57" s="242">
        <f t="shared" si="2"/>
        <v>48.215846367065076</v>
      </c>
      <c r="R57" s="305"/>
      <c r="S57" s="305"/>
      <c r="T57" s="305"/>
      <c r="U57" s="305"/>
    </row>
    <row r="58" spans="1:21" x14ac:dyDescent="0.2">
      <c r="I58" s="50" t="s">
        <v>1079</v>
      </c>
      <c r="R58" s="305"/>
      <c r="S58" s="305"/>
      <c r="T58" s="305"/>
      <c r="U58" s="305"/>
    </row>
    <row r="59" spans="1:21" x14ac:dyDescent="0.2">
      <c r="R59" s="305"/>
      <c r="S59" s="305"/>
      <c r="T59" s="305"/>
      <c r="U59" s="305"/>
    </row>
    <row r="62" spans="1:21" x14ac:dyDescent="0.2">
      <c r="Q62" s="51"/>
    </row>
  </sheetData>
  <autoFilter ref="C5:P56" xr:uid="{00000000-0009-0000-0000-00000B000000}"/>
  <mergeCells count="12">
    <mergeCell ref="Q3:Q5"/>
    <mergeCell ref="A1:P1"/>
    <mergeCell ref="A3:A5"/>
    <mergeCell ref="B3:B5"/>
    <mergeCell ref="E3:P3"/>
    <mergeCell ref="E4:F4"/>
    <mergeCell ref="G4:H4"/>
    <mergeCell ref="I4:J4"/>
    <mergeCell ref="K4:L4"/>
    <mergeCell ref="M4:N4"/>
    <mergeCell ref="O4:P4"/>
    <mergeCell ref="C3:D4"/>
  </mergeCells>
  <conditionalFormatting sqref="R6:U59">
    <cfRule type="cellIs" dxfId="25" priority="2" operator="greaterThan">
      <formula>100</formula>
    </cfRule>
  </conditionalFormatting>
  <conditionalFormatting sqref="R1:U1048576">
    <cfRule type="cellIs" dxfId="24" priority="1" operator="greaterThan">
      <formula>100</formula>
    </cfRule>
  </conditionalFormatting>
  <pageMargins left="1.25" right="0.2" top="0.25" bottom="0" header="0.05" footer="0.05"/>
  <pageSetup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S62"/>
  <sheetViews>
    <sheetView zoomScale="90" zoomScaleNormal="90" workbookViewId="0">
      <pane xSplit="2" ySplit="5" topLeftCell="C50" activePane="bottomRight" state="frozen"/>
      <selection pane="topRight" activeCell="C1" sqref="C1"/>
      <selection pane="bottomLeft" activeCell="A7" sqref="A7"/>
      <selection pane="bottomRight" activeCell="C59" sqref="C59:N63"/>
    </sheetView>
  </sheetViews>
  <sheetFormatPr baseColWidth="10" defaultColWidth="4.3984375" defaultRowHeight="14" x14ac:dyDescent="0.2"/>
  <cols>
    <col min="1" max="1" width="4.3984375" style="36"/>
    <col min="2" max="2" width="21.796875" style="36" bestFit="1" customWidth="1"/>
    <col min="3" max="3" width="8" style="45" bestFit="1" customWidth="1"/>
    <col min="4" max="4" width="10.19921875" style="45" bestFit="1" customWidth="1"/>
    <col min="5" max="5" width="8" style="45" bestFit="1" customWidth="1"/>
    <col min="6" max="6" width="8.19921875" style="45" bestFit="1" customWidth="1"/>
    <col min="7" max="7" width="8.19921875" style="44" customWidth="1"/>
    <col min="8" max="9" width="10.19921875" style="45" bestFit="1" customWidth="1"/>
    <col min="10" max="10" width="8" style="45" bestFit="1" customWidth="1"/>
    <col min="11" max="11" width="10.19921875" style="45" bestFit="1" customWidth="1"/>
    <col min="12" max="12" width="8.19921875" style="44" customWidth="1"/>
    <col min="13" max="13" width="10.19921875" style="45" bestFit="1" customWidth="1"/>
    <col min="14" max="14" width="10.3984375" style="45" bestFit="1" customWidth="1"/>
    <col min="15" max="16" width="10.19921875" style="45" bestFit="1" customWidth="1"/>
    <col min="17" max="17" width="8.3984375" style="44" customWidth="1"/>
    <col min="18" max="18" width="7.796875" style="305" customWidth="1"/>
    <col min="19" max="19" width="8.3984375" style="305" customWidth="1"/>
    <col min="20" max="16384" width="4.3984375" style="36"/>
  </cols>
  <sheetData>
    <row r="1" spans="1:19" ht="18" x14ac:dyDescent="0.2">
      <c r="A1" s="403" t="s">
        <v>1029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9" x14ac:dyDescent="0.2">
      <c r="B2" s="43" t="s">
        <v>124</v>
      </c>
      <c r="C2" s="46"/>
      <c r="D2" s="46"/>
      <c r="N2" s="443" t="s">
        <v>201</v>
      </c>
      <c r="O2" s="443"/>
      <c r="P2" s="443"/>
    </row>
    <row r="3" spans="1:19" ht="22" customHeight="1" x14ac:dyDescent="0.2">
      <c r="A3" s="419" t="s">
        <v>110</v>
      </c>
      <c r="B3" s="419" t="s">
        <v>94</v>
      </c>
      <c r="C3" s="411" t="s">
        <v>31</v>
      </c>
      <c r="D3" s="411"/>
      <c r="E3" s="411"/>
      <c r="F3" s="411"/>
      <c r="G3" s="411" t="s">
        <v>148</v>
      </c>
      <c r="H3" s="411" t="s">
        <v>18</v>
      </c>
      <c r="I3" s="411"/>
      <c r="J3" s="411"/>
      <c r="K3" s="411"/>
      <c r="L3" s="411" t="s">
        <v>148</v>
      </c>
      <c r="M3" s="411" t="s">
        <v>17</v>
      </c>
      <c r="N3" s="411"/>
      <c r="O3" s="411"/>
      <c r="P3" s="411"/>
      <c r="Q3" s="411" t="s">
        <v>148</v>
      </c>
    </row>
    <row r="4" spans="1:19" ht="22" customHeight="1" x14ac:dyDescent="0.2">
      <c r="A4" s="419"/>
      <c r="B4" s="419"/>
      <c r="C4" s="411" t="s">
        <v>19</v>
      </c>
      <c r="D4" s="411"/>
      <c r="E4" s="411" t="s">
        <v>149</v>
      </c>
      <c r="F4" s="411"/>
      <c r="G4" s="411"/>
      <c r="H4" s="411" t="s">
        <v>19</v>
      </c>
      <c r="I4" s="411"/>
      <c r="J4" s="411" t="s">
        <v>149</v>
      </c>
      <c r="K4" s="411"/>
      <c r="L4" s="411"/>
      <c r="M4" s="411" t="s">
        <v>19</v>
      </c>
      <c r="N4" s="411"/>
      <c r="O4" s="411" t="s">
        <v>149</v>
      </c>
      <c r="P4" s="411"/>
      <c r="Q4" s="411"/>
    </row>
    <row r="5" spans="1:19" ht="22" customHeight="1" x14ac:dyDescent="0.2">
      <c r="A5" s="419"/>
      <c r="B5" s="419"/>
      <c r="C5" s="293" t="s">
        <v>114</v>
      </c>
      <c r="D5" s="293" t="s">
        <v>93</v>
      </c>
      <c r="E5" s="293" t="s">
        <v>114</v>
      </c>
      <c r="F5" s="293" t="s">
        <v>93</v>
      </c>
      <c r="G5" s="411"/>
      <c r="H5" s="293" t="s">
        <v>114</v>
      </c>
      <c r="I5" s="293" t="s">
        <v>93</v>
      </c>
      <c r="J5" s="293" t="s">
        <v>114</v>
      </c>
      <c r="K5" s="293" t="s">
        <v>93</v>
      </c>
      <c r="L5" s="411"/>
      <c r="M5" s="293" t="s">
        <v>114</v>
      </c>
      <c r="N5" s="293" t="s">
        <v>93</v>
      </c>
      <c r="O5" s="293" t="s">
        <v>114</v>
      </c>
      <c r="P5" s="293" t="s">
        <v>93</v>
      </c>
      <c r="Q5" s="411"/>
    </row>
    <row r="6" spans="1:19" ht="13" customHeight="1" x14ac:dyDescent="0.15">
      <c r="A6" s="105">
        <v>1</v>
      </c>
      <c r="B6" s="40" t="s">
        <v>51</v>
      </c>
      <c r="C6" s="286">
        <v>139</v>
      </c>
      <c r="D6" s="286">
        <v>8606</v>
      </c>
      <c r="E6" s="286">
        <v>7</v>
      </c>
      <c r="F6" s="286">
        <v>2114</v>
      </c>
      <c r="G6" s="312">
        <f>F6*100/D6</f>
        <v>24.564257494771091</v>
      </c>
      <c r="H6" s="286">
        <v>1236</v>
      </c>
      <c r="I6" s="286">
        <v>6246</v>
      </c>
      <c r="J6" s="286">
        <v>356</v>
      </c>
      <c r="K6" s="286">
        <v>509</v>
      </c>
      <c r="L6" s="312">
        <f>K6*100/I6</f>
        <v>8.1492154979186679</v>
      </c>
      <c r="M6" s="286">
        <v>7397</v>
      </c>
      <c r="N6" s="286">
        <v>46091</v>
      </c>
      <c r="O6" s="286">
        <v>1062</v>
      </c>
      <c r="P6" s="286">
        <v>5125</v>
      </c>
      <c r="Q6" s="312">
        <f>P6*100/N6</f>
        <v>11.119307456987265</v>
      </c>
    </row>
    <row r="7" spans="1:19" ht="13" customHeight="1" x14ac:dyDescent="0.15">
      <c r="A7" s="105">
        <v>2</v>
      </c>
      <c r="B7" s="40" t="s">
        <v>52</v>
      </c>
      <c r="C7" s="286">
        <v>216</v>
      </c>
      <c r="D7" s="286">
        <v>13273</v>
      </c>
      <c r="E7" s="286">
        <v>0</v>
      </c>
      <c r="F7" s="286">
        <v>0</v>
      </c>
      <c r="G7" s="312">
        <f t="shared" ref="G7:G57" si="0">F7*100/D7</f>
        <v>0</v>
      </c>
      <c r="H7" s="286">
        <v>1502</v>
      </c>
      <c r="I7" s="286">
        <v>6369</v>
      </c>
      <c r="J7" s="286">
        <v>366</v>
      </c>
      <c r="K7" s="286">
        <v>320</v>
      </c>
      <c r="L7" s="312">
        <f t="shared" ref="L7:L57" si="1">K7*100/I7</f>
        <v>5.024336630554247</v>
      </c>
      <c r="M7" s="286">
        <v>7778</v>
      </c>
      <c r="N7" s="286">
        <v>50865</v>
      </c>
      <c r="O7" s="286">
        <v>1168</v>
      </c>
      <c r="P7" s="286">
        <v>4310</v>
      </c>
      <c r="Q7" s="312">
        <f t="shared" ref="Q7:Q57" si="2">P7*100/N7</f>
        <v>8.4734100068809592</v>
      </c>
    </row>
    <row r="8" spans="1:19" s="176" customFormat="1" ht="13" customHeight="1" x14ac:dyDescent="0.15">
      <c r="A8" s="310">
        <v>3</v>
      </c>
      <c r="B8" s="311" t="s">
        <v>53</v>
      </c>
      <c r="C8" s="286">
        <v>4</v>
      </c>
      <c r="D8" s="286">
        <v>228</v>
      </c>
      <c r="E8" s="286">
        <v>0</v>
      </c>
      <c r="F8" s="286">
        <v>0</v>
      </c>
      <c r="G8" s="312">
        <f t="shared" si="0"/>
        <v>0</v>
      </c>
      <c r="H8" s="286">
        <v>569</v>
      </c>
      <c r="I8" s="286">
        <v>3017</v>
      </c>
      <c r="J8" s="286">
        <v>57</v>
      </c>
      <c r="K8" s="286">
        <v>78.569999999999993</v>
      </c>
      <c r="L8" s="312">
        <f t="shared" si="1"/>
        <v>2.6042426251242952</v>
      </c>
      <c r="M8" s="286">
        <v>2502</v>
      </c>
      <c r="N8" s="286">
        <v>16387</v>
      </c>
      <c r="O8" s="286">
        <v>406</v>
      </c>
      <c r="P8" s="286">
        <v>1437.13</v>
      </c>
      <c r="Q8" s="312">
        <f t="shared" si="2"/>
        <v>8.769939586257399</v>
      </c>
      <c r="R8" s="305"/>
      <c r="S8" s="305"/>
    </row>
    <row r="9" spans="1:19" ht="13" customHeight="1" x14ac:dyDescent="0.15">
      <c r="A9" s="105">
        <v>4</v>
      </c>
      <c r="B9" s="40" t="s">
        <v>54</v>
      </c>
      <c r="C9" s="286">
        <v>72</v>
      </c>
      <c r="D9" s="286">
        <v>4007</v>
      </c>
      <c r="E9" s="286">
        <v>0</v>
      </c>
      <c r="F9" s="286">
        <v>0</v>
      </c>
      <c r="G9" s="312">
        <f t="shared" si="0"/>
        <v>0</v>
      </c>
      <c r="H9" s="286">
        <v>1046</v>
      </c>
      <c r="I9" s="286">
        <v>5752</v>
      </c>
      <c r="J9" s="286">
        <v>58</v>
      </c>
      <c r="K9" s="286">
        <v>588</v>
      </c>
      <c r="L9" s="312">
        <f t="shared" si="1"/>
        <v>10.222531293463144</v>
      </c>
      <c r="M9" s="286">
        <v>4842</v>
      </c>
      <c r="N9" s="286">
        <v>31141</v>
      </c>
      <c r="O9" s="286">
        <v>52</v>
      </c>
      <c r="P9" s="286">
        <v>34.96</v>
      </c>
      <c r="Q9" s="312">
        <f t="shared" si="2"/>
        <v>0.11226357535082367</v>
      </c>
    </row>
    <row r="10" spans="1:19" ht="13" customHeight="1" x14ac:dyDescent="0.15">
      <c r="A10" s="105">
        <v>5</v>
      </c>
      <c r="B10" s="40" t="s">
        <v>55</v>
      </c>
      <c r="C10" s="290">
        <v>39</v>
      </c>
      <c r="D10" s="290">
        <v>1766</v>
      </c>
      <c r="E10" s="290">
        <v>0</v>
      </c>
      <c r="F10" s="290">
        <v>0</v>
      </c>
      <c r="G10" s="312">
        <f t="shared" si="0"/>
        <v>0</v>
      </c>
      <c r="H10" s="290">
        <v>1755</v>
      </c>
      <c r="I10" s="290">
        <v>10552</v>
      </c>
      <c r="J10" s="290">
        <v>324</v>
      </c>
      <c r="K10" s="290">
        <v>266</v>
      </c>
      <c r="L10" s="312">
        <f t="shared" si="1"/>
        <v>2.5208491281273693</v>
      </c>
      <c r="M10" s="290">
        <v>8024</v>
      </c>
      <c r="N10" s="290">
        <v>55088</v>
      </c>
      <c r="O10" s="290">
        <v>2227</v>
      </c>
      <c r="P10" s="290">
        <v>2706</v>
      </c>
      <c r="Q10" s="312">
        <f t="shared" si="2"/>
        <v>4.9121405750798726</v>
      </c>
    </row>
    <row r="11" spans="1:19" ht="13" customHeight="1" x14ac:dyDescent="0.15">
      <c r="A11" s="105">
        <v>6</v>
      </c>
      <c r="B11" s="40" t="s">
        <v>56</v>
      </c>
      <c r="C11" s="286">
        <v>12</v>
      </c>
      <c r="D11" s="286">
        <v>717</v>
      </c>
      <c r="E11" s="286">
        <v>0</v>
      </c>
      <c r="F11" s="286">
        <v>0</v>
      </c>
      <c r="G11" s="312">
        <f t="shared" si="0"/>
        <v>0</v>
      </c>
      <c r="H11" s="286">
        <v>960</v>
      </c>
      <c r="I11" s="286">
        <v>5827</v>
      </c>
      <c r="J11" s="286">
        <v>13</v>
      </c>
      <c r="K11" s="286">
        <v>38</v>
      </c>
      <c r="L11" s="312">
        <f t="shared" si="1"/>
        <v>0.65213660545735375</v>
      </c>
      <c r="M11" s="286">
        <v>5613</v>
      </c>
      <c r="N11" s="286">
        <v>33731</v>
      </c>
      <c r="O11" s="286">
        <v>55</v>
      </c>
      <c r="P11" s="286">
        <v>938</v>
      </c>
      <c r="Q11" s="312">
        <f t="shared" si="2"/>
        <v>2.7808247606059706</v>
      </c>
    </row>
    <row r="12" spans="1:19" ht="13" customHeight="1" x14ac:dyDescent="0.15">
      <c r="A12" s="105">
        <v>7</v>
      </c>
      <c r="B12" s="40" t="s">
        <v>57</v>
      </c>
      <c r="C12" s="286">
        <v>0</v>
      </c>
      <c r="D12" s="286">
        <v>0</v>
      </c>
      <c r="E12" s="286">
        <v>0</v>
      </c>
      <c r="F12" s="286">
        <v>0</v>
      </c>
      <c r="G12" s="312">
        <v>0</v>
      </c>
      <c r="H12" s="286">
        <v>238</v>
      </c>
      <c r="I12" s="286">
        <v>1265</v>
      </c>
      <c r="J12" s="286">
        <v>3</v>
      </c>
      <c r="K12" s="286">
        <v>2</v>
      </c>
      <c r="L12" s="312">
        <f t="shared" si="1"/>
        <v>0.15810276679841898</v>
      </c>
      <c r="M12" s="286">
        <v>1097</v>
      </c>
      <c r="N12" s="286">
        <v>6850</v>
      </c>
      <c r="O12" s="286">
        <v>42</v>
      </c>
      <c r="P12" s="286">
        <v>452</v>
      </c>
      <c r="Q12" s="312">
        <f t="shared" si="2"/>
        <v>6.5985401459854014</v>
      </c>
    </row>
    <row r="13" spans="1:19" ht="13" customHeight="1" x14ac:dyDescent="0.15">
      <c r="A13" s="105">
        <v>8</v>
      </c>
      <c r="B13" s="40" t="s">
        <v>178</v>
      </c>
      <c r="C13" s="286">
        <v>1</v>
      </c>
      <c r="D13" s="286">
        <v>55</v>
      </c>
      <c r="E13" s="286">
        <v>0</v>
      </c>
      <c r="F13" s="286">
        <v>0</v>
      </c>
      <c r="G13" s="312">
        <f t="shared" si="0"/>
        <v>0</v>
      </c>
      <c r="H13" s="286">
        <v>236</v>
      </c>
      <c r="I13" s="286">
        <v>1433</v>
      </c>
      <c r="J13" s="286">
        <v>1</v>
      </c>
      <c r="K13" s="286">
        <v>3</v>
      </c>
      <c r="L13" s="312">
        <f t="shared" si="1"/>
        <v>0.209351011863224</v>
      </c>
      <c r="M13" s="286">
        <v>1184</v>
      </c>
      <c r="N13" s="286">
        <v>8075</v>
      </c>
      <c r="O13" s="286">
        <v>6</v>
      </c>
      <c r="P13" s="286">
        <v>72</v>
      </c>
      <c r="Q13" s="312">
        <f t="shared" si="2"/>
        <v>0.89164086687306499</v>
      </c>
    </row>
    <row r="14" spans="1:19" ht="13" customHeight="1" x14ac:dyDescent="0.15">
      <c r="A14" s="105">
        <v>9</v>
      </c>
      <c r="B14" s="40" t="s">
        <v>58</v>
      </c>
      <c r="C14" s="286">
        <v>137</v>
      </c>
      <c r="D14" s="286">
        <v>9322</v>
      </c>
      <c r="E14" s="286">
        <v>0</v>
      </c>
      <c r="F14" s="286">
        <v>0</v>
      </c>
      <c r="G14" s="312">
        <f t="shared" si="0"/>
        <v>0</v>
      </c>
      <c r="H14" s="286">
        <v>2208</v>
      </c>
      <c r="I14" s="286">
        <v>11520</v>
      </c>
      <c r="J14" s="286">
        <v>367</v>
      </c>
      <c r="K14" s="286">
        <v>492.28</v>
      </c>
      <c r="L14" s="312">
        <f t="shared" si="1"/>
        <v>4.2732638888888888</v>
      </c>
      <c r="M14" s="286">
        <v>10910</v>
      </c>
      <c r="N14" s="286">
        <v>73161</v>
      </c>
      <c r="O14" s="286">
        <v>547</v>
      </c>
      <c r="P14" s="286">
        <v>2328.5</v>
      </c>
      <c r="Q14" s="312">
        <f t="shared" si="2"/>
        <v>3.1827066333155645</v>
      </c>
    </row>
    <row r="15" spans="1:19" ht="13" customHeight="1" x14ac:dyDescent="0.15">
      <c r="A15" s="105">
        <v>10</v>
      </c>
      <c r="B15" s="40" t="s">
        <v>64</v>
      </c>
      <c r="C15" s="286">
        <v>355</v>
      </c>
      <c r="D15" s="286">
        <v>17504</v>
      </c>
      <c r="E15" s="286">
        <v>0</v>
      </c>
      <c r="F15" s="286">
        <v>0</v>
      </c>
      <c r="G15" s="312">
        <f t="shared" si="0"/>
        <v>0</v>
      </c>
      <c r="H15" s="286">
        <v>5786</v>
      </c>
      <c r="I15" s="286">
        <v>32899</v>
      </c>
      <c r="J15" s="286">
        <v>2010</v>
      </c>
      <c r="K15" s="286">
        <v>2419</v>
      </c>
      <c r="L15" s="312">
        <f t="shared" si="1"/>
        <v>7.3528070762029243</v>
      </c>
      <c r="M15" s="286">
        <v>35421</v>
      </c>
      <c r="N15" s="286">
        <v>231808</v>
      </c>
      <c r="O15" s="286">
        <v>8453</v>
      </c>
      <c r="P15" s="286">
        <v>12180</v>
      </c>
      <c r="Q15" s="312">
        <f t="shared" si="2"/>
        <v>5.2543484262838209</v>
      </c>
    </row>
    <row r="16" spans="1:19" ht="13" customHeight="1" x14ac:dyDescent="0.15">
      <c r="A16" s="105">
        <v>11</v>
      </c>
      <c r="B16" s="40" t="s">
        <v>179</v>
      </c>
      <c r="C16" s="286">
        <v>6</v>
      </c>
      <c r="D16" s="286">
        <v>267</v>
      </c>
      <c r="E16" s="286">
        <v>0</v>
      </c>
      <c r="F16" s="286">
        <v>0</v>
      </c>
      <c r="G16" s="312">
        <f t="shared" si="0"/>
        <v>0</v>
      </c>
      <c r="H16" s="286">
        <v>770</v>
      </c>
      <c r="I16" s="286">
        <v>4396</v>
      </c>
      <c r="J16" s="286">
        <v>62</v>
      </c>
      <c r="K16" s="286">
        <v>37</v>
      </c>
      <c r="L16" s="312">
        <f t="shared" si="1"/>
        <v>0.84167424931756141</v>
      </c>
      <c r="M16" s="286">
        <v>4089</v>
      </c>
      <c r="N16" s="286">
        <v>24138</v>
      </c>
      <c r="O16" s="286">
        <v>280</v>
      </c>
      <c r="P16" s="286">
        <v>1292</v>
      </c>
      <c r="Q16" s="312">
        <f t="shared" si="2"/>
        <v>5.3525561355538986</v>
      </c>
    </row>
    <row r="17" spans="1:19" ht="13" customHeight="1" x14ac:dyDescent="0.15">
      <c r="A17" s="105">
        <v>12</v>
      </c>
      <c r="B17" s="40" t="s">
        <v>60</v>
      </c>
      <c r="C17" s="286">
        <v>41</v>
      </c>
      <c r="D17" s="286">
        <v>2634</v>
      </c>
      <c r="E17" s="286">
        <v>0</v>
      </c>
      <c r="F17" s="286">
        <v>0</v>
      </c>
      <c r="G17" s="312">
        <f t="shared" si="0"/>
        <v>0</v>
      </c>
      <c r="H17" s="286">
        <v>1613</v>
      </c>
      <c r="I17" s="286">
        <v>10312</v>
      </c>
      <c r="J17" s="286">
        <v>264</v>
      </c>
      <c r="K17" s="286">
        <v>337</v>
      </c>
      <c r="L17" s="312">
        <f t="shared" si="1"/>
        <v>3.2680372381691232</v>
      </c>
      <c r="M17" s="286">
        <v>9322</v>
      </c>
      <c r="N17" s="286">
        <v>54220</v>
      </c>
      <c r="O17" s="286">
        <v>382</v>
      </c>
      <c r="P17" s="286">
        <v>1520</v>
      </c>
      <c r="Q17" s="312">
        <f t="shared" si="2"/>
        <v>2.8033935817041682</v>
      </c>
    </row>
    <row r="18" spans="1:19" s="43" customFormat="1" ht="13" customHeight="1" x14ac:dyDescent="0.15">
      <c r="A18" s="293"/>
      <c r="B18" s="42" t="s">
        <v>215</v>
      </c>
      <c r="C18" s="287">
        <f>SUM(C6:C17)</f>
        <v>1022</v>
      </c>
      <c r="D18" s="287">
        <f t="shared" ref="D18:P18" si="3">SUM(D6:D17)</f>
        <v>58379</v>
      </c>
      <c r="E18" s="287">
        <f t="shared" si="3"/>
        <v>7</v>
      </c>
      <c r="F18" s="287">
        <f t="shared" si="3"/>
        <v>2114</v>
      </c>
      <c r="G18" s="313">
        <f t="shared" si="0"/>
        <v>3.6211651450007709</v>
      </c>
      <c r="H18" s="287">
        <f t="shared" si="3"/>
        <v>17919</v>
      </c>
      <c r="I18" s="287">
        <f t="shared" si="3"/>
        <v>99588</v>
      </c>
      <c r="J18" s="287">
        <f t="shared" si="3"/>
        <v>3881</v>
      </c>
      <c r="K18" s="287">
        <f t="shared" si="3"/>
        <v>5089.8500000000004</v>
      </c>
      <c r="L18" s="313">
        <f t="shared" si="1"/>
        <v>5.1109069365787052</v>
      </c>
      <c r="M18" s="287">
        <f t="shared" si="3"/>
        <v>98179</v>
      </c>
      <c r="N18" s="287">
        <f t="shared" si="3"/>
        <v>631555</v>
      </c>
      <c r="O18" s="287">
        <f t="shared" si="3"/>
        <v>14680</v>
      </c>
      <c r="P18" s="287">
        <f t="shared" si="3"/>
        <v>32395.59</v>
      </c>
      <c r="Q18" s="313">
        <f t="shared" si="2"/>
        <v>5.1294962433992293</v>
      </c>
      <c r="R18" s="305"/>
      <c r="S18" s="305"/>
    </row>
    <row r="19" spans="1:19" ht="13" customHeight="1" x14ac:dyDescent="0.15">
      <c r="A19" s="105">
        <v>13</v>
      </c>
      <c r="B19" s="40" t="s">
        <v>41</v>
      </c>
      <c r="C19" s="286">
        <v>64</v>
      </c>
      <c r="D19" s="286">
        <v>4284</v>
      </c>
      <c r="E19" s="286">
        <v>14</v>
      </c>
      <c r="F19" s="286">
        <v>3865.03</v>
      </c>
      <c r="G19" s="312">
        <f t="shared" si="0"/>
        <v>90.220121381886088</v>
      </c>
      <c r="H19" s="286">
        <v>407</v>
      </c>
      <c r="I19" s="286">
        <v>2044</v>
      </c>
      <c r="J19" s="286">
        <v>55</v>
      </c>
      <c r="K19" s="286">
        <v>357.57</v>
      </c>
      <c r="L19" s="312">
        <f t="shared" si="1"/>
        <v>17.493639921722114</v>
      </c>
      <c r="M19" s="286">
        <v>1645</v>
      </c>
      <c r="N19" s="286">
        <v>10440</v>
      </c>
      <c r="O19" s="286">
        <v>148</v>
      </c>
      <c r="P19" s="286">
        <v>232.44</v>
      </c>
      <c r="Q19" s="312">
        <f t="shared" si="2"/>
        <v>2.2264367816091952</v>
      </c>
    </row>
    <row r="20" spans="1:19" s="176" customFormat="1" ht="13" customHeight="1" x14ac:dyDescent="0.15">
      <c r="A20" s="310">
        <v>14</v>
      </c>
      <c r="B20" s="311" t="s">
        <v>180</v>
      </c>
      <c r="C20" s="286">
        <v>0</v>
      </c>
      <c r="D20" s="286">
        <v>0</v>
      </c>
      <c r="E20" s="286">
        <v>0</v>
      </c>
      <c r="F20" s="286">
        <v>0</v>
      </c>
      <c r="G20" s="312">
        <v>0</v>
      </c>
      <c r="H20" s="286">
        <v>188</v>
      </c>
      <c r="I20" s="286">
        <v>793</v>
      </c>
      <c r="J20" s="286">
        <v>0</v>
      </c>
      <c r="K20" s="286">
        <v>0</v>
      </c>
      <c r="L20" s="312">
        <f t="shared" si="1"/>
        <v>0</v>
      </c>
      <c r="M20" s="286">
        <v>702</v>
      </c>
      <c r="N20" s="286">
        <v>4173</v>
      </c>
      <c r="O20" s="286">
        <v>3176</v>
      </c>
      <c r="P20" s="286">
        <v>9535.66</v>
      </c>
      <c r="Q20" s="312">
        <f t="shared" si="2"/>
        <v>228.50850706925473</v>
      </c>
      <c r="R20" s="305"/>
      <c r="S20" s="305"/>
    </row>
    <row r="21" spans="1:19" ht="13" customHeight="1" x14ac:dyDescent="0.15">
      <c r="A21" s="105">
        <v>15</v>
      </c>
      <c r="B21" s="40" t="s">
        <v>181</v>
      </c>
      <c r="C21" s="286">
        <v>0</v>
      </c>
      <c r="D21" s="286">
        <v>0</v>
      </c>
      <c r="E21" s="286">
        <v>0</v>
      </c>
      <c r="F21" s="286">
        <v>0</v>
      </c>
      <c r="G21" s="312">
        <v>0</v>
      </c>
      <c r="H21" s="286">
        <v>0</v>
      </c>
      <c r="I21" s="286">
        <v>0</v>
      </c>
      <c r="J21" s="286">
        <v>0</v>
      </c>
      <c r="K21" s="286">
        <v>0</v>
      </c>
      <c r="L21" s="312">
        <v>0</v>
      </c>
      <c r="M21" s="286">
        <v>28</v>
      </c>
      <c r="N21" s="286">
        <v>206</v>
      </c>
      <c r="O21" s="286">
        <v>1</v>
      </c>
      <c r="P21" s="286">
        <v>14</v>
      </c>
      <c r="Q21" s="312">
        <f t="shared" si="2"/>
        <v>6.7961165048543686</v>
      </c>
    </row>
    <row r="22" spans="1:19" ht="13" customHeight="1" x14ac:dyDescent="0.15">
      <c r="A22" s="105">
        <v>16</v>
      </c>
      <c r="B22" s="40" t="s">
        <v>45</v>
      </c>
      <c r="C22" s="286">
        <v>0</v>
      </c>
      <c r="D22" s="286">
        <v>0</v>
      </c>
      <c r="E22" s="286">
        <v>0</v>
      </c>
      <c r="F22" s="286">
        <v>0</v>
      </c>
      <c r="G22" s="312">
        <v>0</v>
      </c>
      <c r="H22" s="286">
        <v>52</v>
      </c>
      <c r="I22" s="286">
        <v>264</v>
      </c>
      <c r="J22" s="286">
        <v>0</v>
      </c>
      <c r="K22" s="286">
        <v>0</v>
      </c>
      <c r="L22" s="312">
        <f t="shared" si="1"/>
        <v>0</v>
      </c>
      <c r="M22" s="286">
        <v>272</v>
      </c>
      <c r="N22" s="286">
        <v>1366</v>
      </c>
      <c r="O22" s="286">
        <v>0</v>
      </c>
      <c r="P22" s="286">
        <v>0</v>
      </c>
      <c r="Q22" s="312">
        <f t="shared" si="2"/>
        <v>0</v>
      </c>
    </row>
    <row r="23" spans="1:19" ht="13" customHeight="1" x14ac:dyDescent="0.15">
      <c r="A23" s="105">
        <v>17</v>
      </c>
      <c r="B23" s="40" t="s">
        <v>182</v>
      </c>
      <c r="C23" s="286">
        <v>0</v>
      </c>
      <c r="D23" s="286">
        <v>0</v>
      </c>
      <c r="E23" s="286">
        <v>0</v>
      </c>
      <c r="F23" s="286">
        <v>0</v>
      </c>
      <c r="G23" s="312">
        <v>0</v>
      </c>
      <c r="H23" s="286">
        <v>111</v>
      </c>
      <c r="I23" s="286">
        <v>514</v>
      </c>
      <c r="J23" s="286">
        <v>52</v>
      </c>
      <c r="K23" s="286">
        <v>103</v>
      </c>
      <c r="L23" s="312">
        <f t="shared" si="1"/>
        <v>20.038910505836576</v>
      </c>
      <c r="M23" s="286">
        <v>585</v>
      </c>
      <c r="N23" s="286">
        <v>3509</v>
      </c>
      <c r="O23" s="286">
        <v>136</v>
      </c>
      <c r="P23" s="286">
        <v>443</v>
      </c>
      <c r="Q23" s="312">
        <f t="shared" si="2"/>
        <v>12.624679395839271</v>
      </c>
    </row>
    <row r="24" spans="1:19" s="43" customFormat="1" ht="13" customHeight="1" x14ac:dyDescent="0.15">
      <c r="A24" s="105">
        <v>18</v>
      </c>
      <c r="B24" s="40" t="s">
        <v>183</v>
      </c>
      <c r="C24" s="286">
        <v>0</v>
      </c>
      <c r="D24" s="286">
        <v>0</v>
      </c>
      <c r="E24" s="286">
        <v>0</v>
      </c>
      <c r="F24" s="286">
        <v>0</v>
      </c>
      <c r="G24" s="312">
        <v>0</v>
      </c>
      <c r="H24" s="286">
        <v>12</v>
      </c>
      <c r="I24" s="286">
        <v>92</v>
      </c>
      <c r="J24" s="286">
        <v>0</v>
      </c>
      <c r="K24" s="286">
        <v>0</v>
      </c>
      <c r="L24" s="312">
        <f t="shared" si="1"/>
        <v>0</v>
      </c>
      <c r="M24" s="286">
        <v>64</v>
      </c>
      <c r="N24" s="286">
        <v>560</v>
      </c>
      <c r="O24" s="286">
        <v>7</v>
      </c>
      <c r="P24" s="286">
        <v>90.48</v>
      </c>
      <c r="Q24" s="312">
        <f t="shared" si="2"/>
        <v>16.157142857142858</v>
      </c>
      <c r="R24" s="305"/>
      <c r="S24" s="305"/>
    </row>
    <row r="25" spans="1:19" ht="13" customHeight="1" x14ac:dyDescent="0.15">
      <c r="A25" s="105">
        <v>19</v>
      </c>
      <c r="B25" s="40" t="s">
        <v>184</v>
      </c>
      <c r="C25" s="286">
        <v>0</v>
      </c>
      <c r="D25" s="286">
        <v>0</v>
      </c>
      <c r="E25" s="286">
        <v>0</v>
      </c>
      <c r="F25" s="286">
        <v>0</v>
      </c>
      <c r="G25" s="312">
        <v>0</v>
      </c>
      <c r="H25" s="286">
        <v>54</v>
      </c>
      <c r="I25" s="286">
        <v>330</v>
      </c>
      <c r="J25" s="286">
        <v>15</v>
      </c>
      <c r="K25" s="286">
        <v>52</v>
      </c>
      <c r="L25" s="312">
        <f t="shared" si="1"/>
        <v>15.757575757575758</v>
      </c>
      <c r="M25" s="286">
        <v>357</v>
      </c>
      <c r="N25" s="286">
        <v>2392</v>
      </c>
      <c r="O25" s="286">
        <v>165</v>
      </c>
      <c r="P25" s="286">
        <v>1506</v>
      </c>
      <c r="Q25" s="312">
        <f t="shared" si="2"/>
        <v>62.959866220735783</v>
      </c>
    </row>
    <row r="26" spans="1:19" ht="13" customHeight="1" x14ac:dyDescent="0.15">
      <c r="A26" s="105">
        <v>20</v>
      </c>
      <c r="B26" s="40" t="s">
        <v>65</v>
      </c>
      <c r="C26" s="286">
        <v>123</v>
      </c>
      <c r="D26" s="286">
        <v>8389</v>
      </c>
      <c r="E26" s="286">
        <v>0</v>
      </c>
      <c r="F26" s="286">
        <v>0</v>
      </c>
      <c r="G26" s="312">
        <f t="shared" si="0"/>
        <v>0</v>
      </c>
      <c r="H26" s="286">
        <v>669</v>
      </c>
      <c r="I26" s="286">
        <v>3081</v>
      </c>
      <c r="J26" s="286">
        <v>66</v>
      </c>
      <c r="K26" s="286">
        <v>68.58</v>
      </c>
      <c r="L26" s="312">
        <f t="shared" si="1"/>
        <v>2.225900681596884</v>
      </c>
      <c r="M26" s="286">
        <v>3716</v>
      </c>
      <c r="N26" s="286">
        <v>24812</v>
      </c>
      <c r="O26" s="286">
        <v>412</v>
      </c>
      <c r="P26" s="286">
        <v>368.24</v>
      </c>
      <c r="Q26" s="312">
        <f t="shared" si="2"/>
        <v>1.4841205868128324</v>
      </c>
    </row>
    <row r="27" spans="1:19" ht="13" customHeight="1" x14ac:dyDescent="0.15">
      <c r="A27" s="105">
        <v>21</v>
      </c>
      <c r="B27" s="40" t="s">
        <v>66</v>
      </c>
      <c r="C27" s="286">
        <v>98</v>
      </c>
      <c r="D27" s="286">
        <v>7775</v>
      </c>
      <c r="E27" s="286">
        <v>0</v>
      </c>
      <c r="F27" s="286">
        <v>0</v>
      </c>
      <c r="G27" s="312">
        <f t="shared" si="0"/>
        <v>0</v>
      </c>
      <c r="H27" s="286">
        <v>725</v>
      </c>
      <c r="I27" s="286">
        <v>3853</v>
      </c>
      <c r="J27" s="286">
        <v>19</v>
      </c>
      <c r="K27" s="286">
        <v>225</v>
      </c>
      <c r="L27" s="312">
        <f t="shared" si="1"/>
        <v>5.8396055022060729</v>
      </c>
      <c r="M27" s="286">
        <v>4089</v>
      </c>
      <c r="N27" s="286">
        <v>28363</v>
      </c>
      <c r="O27" s="286">
        <v>68</v>
      </c>
      <c r="P27" s="286">
        <v>1096</v>
      </c>
      <c r="Q27" s="312">
        <f t="shared" si="2"/>
        <v>3.8641892606564889</v>
      </c>
    </row>
    <row r="28" spans="1:19" ht="13" customHeight="1" x14ac:dyDescent="0.15">
      <c r="A28" s="105">
        <v>22</v>
      </c>
      <c r="B28" s="40" t="s">
        <v>75</v>
      </c>
      <c r="C28" s="286">
        <v>76</v>
      </c>
      <c r="D28" s="286">
        <v>6618</v>
      </c>
      <c r="E28" s="286">
        <v>0</v>
      </c>
      <c r="F28" s="286">
        <v>0</v>
      </c>
      <c r="G28" s="312">
        <f t="shared" si="0"/>
        <v>0</v>
      </c>
      <c r="H28" s="286">
        <v>347</v>
      </c>
      <c r="I28" s="286">
        <v>1641</v>
      </c>
      <c r="J28" s="286">
        <v>57</v>
      </c>
      <c r="K28" s="286">
        <v>88.57</v>
      </c>
      <c r="L28" s="312">
        <f t="shared" si="1"/>
        <v>5.3973187081048142</v>
      </c>
      <c r="M28" s="286">
        <v>1582</v>
      </c>
      <c r="N28" s="286">
        <v>9420</v>
      </c>
      <c r="O28" s="286">
        <v>268</v>
      </c>
      <c r="P28" s="286">
        <v>1055</v>
      </c>
      <c r="Q28" s="312">
        <f t="shared" si="2"/>
        <v>11.199575371549894</v>
      </c>
    </row>
    <row r="29" spans="1:19" ht="13" customHeight="1" x14ac:dyDescent="0.15">
      <c r="A29" s="105">
        <v>23</v>
      </c>
      <c r="B29" s="40" t="s">
        <v>379</v>
      </c>
      <c r="C29" s="286">
        <v>0</v>
      </c>
      <c r="D29" s="286">
        <v>0</v>
      </c>
      <c r="E29" s="286">
        <v>0</v>
      </c>
      <c r="F29" s="286">
        <v>0</v>
      </c>
      <c r="G29" s="312">
        <v>0</v>
      </c>
      <c r="H29" s="286">
        <v>122</v>
      </c>
      <c r="I29" s="286">
        <v>486</v>
      </c>
      <c r="J29" s="286">
        <v>0</v>
      </c>
      <c r="K29" s="286">
        <v>0</v>
      </c>
      <c r="L29" s="312">
        <f t="shared" si="1"/>
        <v>0</v>
      </c>
      <c r="M29" s="286">
        <v>541</v>
      </c>
      <c r="N29" s="286">
        <v>2961</v>
      </c>
      <c r="O29" s="286">
        <v>90</v>
      </c>
      <c r="P29" s="286">
        <v>377</v>
      </c>
      <c r="Q29" s="312">
        <f t="shared" si="2"/>
        <v>12.732185072610605</v>
      </c>
    </row>
    <row r="30" spans="1:19" ht="13" customHeight="1" x14ac:dyDescent="0.15">
      <c r="A30" s="105">
        <v>24</v>
      </c>
      <c r="B30" s="40" t="s">
        <v>185</v>
      </c>
      <c r="C30" s="286">
        <v>1</v>
      </c>
      <c r="D30" s="286">
        <v>24</v>
      </c>
      <c r="E30" s="286">
        <v>2</v>
      </c>
      <c r="F30" s="286">
        <v>463</v>
      </c>
      <c r="G30" s="312">
        <f t="shared" si="0"/>
        <v>1929.1666666666667</v>
      </c>
      <c r="H30" s="286">
        <v>162</v>
      </c>
      <c r="I30" s="286">
        <v>808</v>
      </c>
      <c r="J30" s="286">
        <v>0</v>
      </c>
      <c r="K30" s="286">
        <v>0</v>
      </c>
      <c r="L30" s="312">
        <f t="shared" si="1"/>
        <v>0</v>
      </c>
      <c r="M30" s="286">
        <v>808</v>
      </c>
      <c r="N30" s="286">
        <v>4953</v>
      </c>
      <c r="O30" s="286">
        <v>86</v>
      </c>
      <c r="P30" s="286">
        <v>184</v>
      </c>
      <c r="Q30" s="312">
        <f t="shared" si="2"/>
        <v>3.7149202503533214</v>
      </c>
    </row>
    <row r="31" spans="1:19" ht="13" customHeight="1" x14ac:dyDescent="0.15">
      <c r="A31" s="105">
        <v>25</v>
      </c>
      <c r="B31" s="40" t="s">
        <v>186</v>
      </c>
      <c r="C31" s="286">
        <v>0</v>
      </c>
      <c r="D31" s="286">
        <v>0</v>
      </c>
      <c r="E31" s="286">
        <v>0</v>
      </c>
      <c r="F31" s="286">
        <v>0</v>
      </c>
      <c r="G31" s="312">
        <v>0</v>
      </c>
      <c r="H31" s="286">
        <v>136</v>
      </c>
      <c r="I31" s="286">
        <v>724</v>
      </c>
      <c r="J31" s="286">
        <v>5</v>
      </c>
      <c r="K31" s="286">
        <v>45</v>
      </c>
      <c r="L31" s="312">
        <f t="shared" si="1"/>
        <v>6.2154696132596685</v>
      </c>
      <c r="M31" s="286">
        <v>274</v>
      </c>
      <c r="N31" s="286">
        <v>1898</v>
      </c>
      <c r="O31" s="286">
        <v>95</v>
      </c>
      <c r="P31" s="286">
        <v>545</v>
      </c>
      <c r="Q31" s="312">
        <f t="shared" si="2"/>
        <v>28.714436248682823</v>
      </c>
    </row>
    <row r="32" spans="1:19" ht="13" customHeight="1" x14ac:dyDescent="0.15">
      <c r="A32" s="105">
        <v>26</v>
      </c>
      <c r="B32" s="40" t="s">
        <v>187</v>
      </c>
      <c r="C32" s="286">
        <v>0</v>
      </c>
      <c r="D32" s="286">
        <v>0</v>
      </c>
      <c r="E32" s="286">
        <v>0</v>
      </c>
      <c r="F32" s="286">
        <v>0</v>
      </c>
      <c r="G32" s="312">
        <v>0</v>
      </c>
      <c r="H32" s="286">
        <v>117</v>
      </c>
      <c r="I32" s="286">
        <v>608</v>
      </c>
      <c r="J32" s="286">
        <v>11</v>
      </c>
      <c r="K32" s="286">
        <v>38.53</v>
      </c>
      <c r="L32" s="312">
        <f t="shared" si="1"/>
        <v>6.3371710526315788</v>
      </c>
      <c r="M32" s="286">
        <v>360</v>
      </c>
      <c r="N32" s="286">
        <v>2107</v>
      </c>
      <c r="O32" s="286">
        <v>283</v>
      </c>
      <c r="P32" s="286">
        <v>2987.25</v>
      </c>
      <c r="Q32" s="312">
        <f t="shared" si="2"/>
        <v>141.77740863787375</v>
      </c>
    </row>
    <row r="33" spans="1:19" ht="13" customHeight="1" x14ac:dyDescent="0.15">
      <c r="A33" s="105">
        <v>27</v>
      </c>
      <c r="B33" s="40" t="s">
        <v>188</v>
      </c>
      <c r="C33" s="286">
        <v>0</v>
      </c>
      <c r="D33" s="286">
        <v>0</v>
      </c>
      <c r="E33" s="286">
        <v>0</v>
      </c>
      <c r="F33" s="286">
        <v>0</v>
      </c>
      <c r="G33" s="312">
        <v>0</v>
      </c>
      <c r="H33" s="286">
        <v>111</v>
      </c>
      <c r="I33" s="286">
        <v>526</v>
      </c>
      <c r="J33" s="286">
        <v>0</v>
      </c>
      <c r="K33" s="286">
        <v>0</v>
      </c>
      <c r="L33" s="312">
        <f t="shared" si="1"/>
        <v>0</v>
      </c>
      <c r="M33" s="286">
        <v>276</v>
      </c>
      <c r="N33" s="286">
        <v>1831</v>
      </c>
      <c r="O33" s="286">
        <v>1</v>
      </c>
      <c r="P33" s="286">
        <v>75</v>
      </c>
      <c r="Q33" s="312">
        <f t="shared" si="2"/>
        <v>4.0961223375204803</v>
      </c>
    </row>
    <row r="34" spans="1:19" ht="13" customHeight="1" x14ac:dyDescent="0.15">
      <c r="A34" s="105">
        <v>28</v>
      </c>
      <c r="B34" s="40" t="s">
        <v>67</v>
      </c>
      <c r="C34" s="286">
        <v>0</v>
      </c>
      <c r="D34" s="286">
        <v>0</v>
      </c>
      <c r="E34" s="286">
        <v>0</v>
      </c>
      <c r="F34" s="286">
        <v>0</v>
      </c>
      <c r="G34" s="312">
        <v>0</v>
      </c>
      <c r="H34" s="286">
        <v>123</v>
      </c>
      <c r="I34" s="286">
        <v>584</v>
      </c>
      <c r="J34" s="286">
        <v>0</v>
      </c>
      <c r="K34" s="286">
        <v>0</v>
      </c>
      <c r="L34" s="312">
        <f t="shared" si="1"/>
        <v>0</v>
      </c>
      <c r="M34" s="286">
        <v>702</v>
      </c>
      <c r="N34" s="286">
        <v>4031</v>
      </c>
      <c r="O34" s="286">
        <v>2</v>
      </c>
      <c r="P34" s="286">
        <v>17.32</v>
      </c>
      <c r="Q34" s="312">
        <f t="shared" si="2"/>
        <v>0.42967005705780204</v>
      </c>
    </row>
    <row r="35" spans="1:19" ht="13" customHeight="1" x14ac:dyDescent="0.15">
      <c r="A35" s="105">
        <v>29</v>
      </c>
      <c r="B35" s="40" t="s">
        <v>189</v>
      </c>
      <c r="C35" s="286">
        <v>0</v>
      </c>
      <c r="D35" s="286">
        <v>0</v>
      </c>
      <c r="E35" s="286">
        <v>0</v>
      </c>
      <c r="F35" s="286">
        <v>0</v>
      </c>
      <c r="G35" s="312">
        <v>0</v>
      </c>
      <c r="H35" s="286">
        <v>49</v>
      </c>
      <c r="I35" s="286">
        <v>256</v>
      </c>
      <c r="J35" s="286">
        <v>1</v>
      </c>
      <c r="K35" s="286">
        <v>1</v>
      </c>
      <c r="L35" s="312">
        <f t="shared" si="1"/>
        <v>0.390625</v>
      </c>
      <c r="M35" s="286">
        <v>181</v>
      </c>
      <c r="N35" s="286">
        <v>1219</v>
      </c>
      <c r="O35" s="286">
        <v>8</v>
      </c>
      <c r="P35" s="286">
        <v>80</v>
      </c>
      <c r="Q35" s="312">
        <f t="shared" si="2"/>
        <v>6.5627563576702217</v>
      </c>
    </row>
    <row r="36" spans="1:19" ht="13" customHeight="1" x14ac:dyDescent="0.15">
      <c r="A36" s="105">
        <v>30</v>
      </c>
      <c r="B36" s="40" t="s">
        <v>190</v>
      </c>
      <c r="C36" s="286">
        <v>0</v>
      </c>
      <c r="D36" s="286">
        <v>0</v>
      </c>
      <c r="E36" s="286">
        <v>0</v>
      </c>
      <c r="F36" s="286">
        <v>0</v>
      </c>
      <c r="G36" s="312">
        <v>0</v>
      </c>
      <c r="H36" s="286">
        <v>58</v>
      </c>
      <c r="I36" s="286">
        <v>294</v>
      </c>
      <c r="J36" s="286">
        <v>100</v>
      </c>
      <c r="K36" s="286">
        <v>27</v>
      </c>
      <c r="L36" s="312">
        <f t="shared" si="1"/>
        <v>9.183673469387756</v>
      </c>
      <c r="M36" s="286">
        <v>465</v>
      </c>
      <c r="N36" s="286">
        <v>2759</v>
      </c>
      <c r="O36" s="286">
        <v>16</v>
      </c>
      <c r="P36" s="286">
        <v>14</v>
      </c>
      <c r="Q36" s="312">
        <f t="shared" si="2"/>
        <v>0.50743022834360274</v>
      </c>
    </row>
    <row r="37" spans="1:19" ht="13" customHeight="1" x14ac:dyDescent="0.15">
      <c r="A37" s="105">
        <v>31</v>
      </c>
      <c r="B37" s="40" t="s">
        <v>191</v>
      </c>
      <c r="C37" s="286">
        <v>0</v>
      </c>
      <c r="D37" s="286">
        <v>0</v>
      </c>
      <c r="E37" s="286">
        <v>0</v>
      </c>
      <c r="F37" s="286">
        <v>0</v>
      </c>
      <c r="G37" s="312">
        <v>0</v>
      </c>
      <c r="H37" s="286">
        <v>86</v>
      </c>
      <c r="I37" s="286">
        <v>472</v>
      </c>
      <c r="J37" s="286">
        <v>5</v>
      </c>
      <c r="K37" s="286">
        <v>27</v>
      </c>
      <c r="L37" s="312">
        <f t="shared" si="1"/>
        <v>5.7203389830508478</v>
      </c>
      <c r="M37" s="286">
        <v>214</v>
      </c>
      <c r="N37" s="286">
        <v>1490</v>
      </c>
      <c r="O37" s="286">
        <v>32</v>
      </c>
      <c r="P37" s="286">
        <v>412</v>
      </c>
      <c r="Q37" s="312">
        <f t="shared" si="2"/>
        <v>27.651006711409394</v>
      </c>
    </row>
    <row r="38" spans="1:19" ht="13" customHeight="1" x14ac:dyDescent="0.15">
      <c r="A38" s="105">
        <v>32</v>
      </c>
      <c r="B38" s="40" t="s">
        <v>71</v>
      </c>
      <c r="C38" s="286">
        <v>0</v>
      </c>
      <c r="D38" s="286">
        <v>0</v>
      </c>
      <c r="E38" s="286">
        <v>0</v>
      </c>
      <c r="F38" s="286">
        <v>0</v>
      </c>
      <c r="G38" s="312">
        <v>0</v>
      </c>
      <c r="H38" s="286">
        <v>0</v>
      </c>
      <c r="I38" s="286">
        <v>0</v>
      </c>
      <c r="J38" s="286">
        <v>0</v>
      </c>
      <c r="K38" s="286">
        <v>0</v>
      </c>
      <c r="L38" s="312">
        <v>0</v>
      </c>
      <c r="M38" s="286">
        <v>22</v>
      </c>
      <c r="N38" s="286">
        <v>166</v>
      </c>
      <c r="O38" s="286">
        <v>0</v>
      </c>
      <c r="P38" s="286">
        <v>0</v>
      </c>
      <c r="Q38" s="312">
        <f t="shared" si="2"/>
        <v>0</v>
      </c>
    </row>
    <row r="39" spans="1:19" ht="13" customHeight="1" x14ac:dyDescent="0.15">
      <c r="A39" s="105">
        <v>33</v>
      </c>
      <c r="B39" s="40" t="s">
        <v>192</v>
      </c>
      <c r="C39" s="286">
        <v>0</v>
      </c>
      <c r="D39" s="286">
        <v>0</v>
      </c>
      <c r="E39" s="286">
        <v>0</v>
      </c>
      <c r="F39" s="286">
        <v>0</v>
      </c>
      <c r="G39" s="312">
        <v>0</v>
      </c>
      <c r="H39" s="286">
        <v>4</v>
      </c>
      <c r="I39" s="286">
        <v>10</v>
      </c>
      <c r="J39" s="286">
        <v>0</v>
      </c>
      <c r="K39" s="286">
        <v>0</v>
      </c>
      <c r="L39" s="312">
        <f t="shared" si="1"/>
        <v>0</v>
      </c>
      <c r="M39" s="286">
        <v>0</v>
      </c>
      <c r="N39" s="286">
        <v>0</v>
      </c>
      <c r="O39" s="286">
        <v>37</v>
      </c>
      <c r="P39" s="286">
        <v>310</v>
      </c>
      <c r="Q39" s="312" t="e">
        <f t="shared" si="2"/>
        <v>#DIV/0!</v>
      </c>
    </row>
    <row r="40" spans="1:19" ht="13" customHeight="1" x14ac:dyDescent="0.15">
      <c r="A40" s="105">
        <v>34</v>
      </c>
      <c r="B40" s="40" t="s">
        <v>70</v>
      </c>
      <c r="C40" s="286">
        <v>0</v>
      </c>
      <c r="D40" s="286">
        <v>0</v>
      </c>
      <c r="E40" s="286">
        <v>0</v>
      </c>
      <c r="F40" s="286">
        <v>0</v>
      </c>
      <c r="G40" s="312">
        <v>0</v>
      </c>
      <c r="H40" s="286">
        <v>92</v>
      </c>
      <c r="I40" s="286">
        <v>445</v>
      </c>
      <c r="J40" s="286">
        <v>0</v>
      </c>
      <c r="K40" s="286">
        <v>0</v>
      </c>
      <c r="L40" s="312">
        <f t="shared" si="1"/>
        <v>0</v>
      </c>
      <c r="M40" s="286">
        <v>628</v>
      </c>
      <c r="N40" s="286">
        <v>3601</v>
      </c>
      <c r="O40" s="286">
        <v>136</v>
      </c>
      <c r="P40" s="286">
        <v>1801</v>
      </c>
      <c r="Q40" s="312">
        <f t="shared" si="2"/>
        <v>50.013885031935573</v>
      </c>
    </row>
    <row r="41" spans="1:19" s="43" customFormat="1" ht="13" customHeight="1" x14ac:dyDescent="0.15">
      <c r="A41" s="293"/>
      <c r="B41" s="42" t="s">
        <v>213</v>
      </c>
      <c r="C41" s="287">
        <f>SUM(C19:C40)</f>
        <v>362</v>
      </c>
      <c r="D41" s="287">
        <f t="shared" ref="D41:P41" si="4">SUM(D19:D40)</f>
        <v>27090</v>
      </c>
      <c r="E41" s="287">
        <f t="shared" si="4"/>
        <v>16</v>
      </c>
      <c r="F41" s="287">
        <f t="shared" si="4"/>
        <v>4328.0300000000007</v>
      </c>
      <c r="G41" s="313">
        <f t="shared" si="0"/>
        <v>15.976485788113697</v>
      </c>
      <c r="H41" s="287">
        <f t="shared" si="4"/>
        <v>3625</v>
      </c>
      <c r="I41" s="287">
        <f t="shared" si="4"/>
        <v>17825</v>
      </c>
      <c r="J41" s="287">
        <f t="shared" si="4"/>
        <v>386</v>
      </c>
      <c r="K41" s="287">
        <f t="shared" si="4"/>
        <v>1033.25</v>
      </c>
      <c r="L41" s="313">
        <f t="shared" si="1"/>
        <v>5.7966339410939689</v>
      </c>
      <c r="M41" s="287">
        <f t="shared" si="4"/>
        <v>17511</v>
      </c>
      <c r="N41" s="287">
        <f t="shared" si="4"/>
        <v>112257</v>
      </c>
      <c r="O41" s="287">
        <f t="shared" si="4"/>
        <v>5167</v>
      </c>
      <c r="P41" s="287">
        <f t="shared" si="4"/>
        <v>21143.39</v>
      </c>
      <c r="Q41" s="313">
        <f t="shared" si="2"/>
        <v>18.834807628922917</v>
      </c>
      <c r="R41" s="305"/>
      <c r="S41" s="305"/>
    </row>
    <row r="42" spans="1:19" s="43" customFormat="1" ht="13" customHeight="1" x14ac:dyDescent="0.2">
      <c r="A42" s="293"/>
      <c r="B42" s="42" t="s">
        <v>311</v>
      </c>
      <c r="C42" s="263">
        <f>C41+C18</f>
        <v>1384</v>
      </c>
      <c r="D42" s="263">
        <f t="shared" ref="D42:P42" si="5">D41+D18</f>
        <v>85469</v>
      </c>
      <c r="E42" s="263">
        <f t="shared" si="5"/>
        <v>23</v>
      </c>
      <c r="F42" s="263">
        <f t="shared" si="5"/>
        <v>6442.0300000000007</v>
      </c>
      <c r="G42" s="313">
        <f t="shared" si="0"/>
        <v>7.5372708233394574</v>
      </c>
      <c r="H42" s="263">
        <f t="shared" si="5"/>
        <v>21544</v>
      </c>
      <c r="I42" s="263">
        <f t="shared" si="5"/>
        <v>117413</v>
      </c>
      <c r="J42" s="263">
        <f t="shared" si="5"/>
        <v>4267</v>
      </c>
      <c r="K42" s="263">
        <f t="shared" si="5"/>
        <v>6123.1</v>
      </c>
      <c r="L42" s="313">
        <f t="shared" si="1"/>
        <v>5.2150102629180752</v>
      </c>
      <c r="M42" s="263">
        <f t="shared" si="5"/>
        <v>115690</v>
      </c>
      <c r="N42" s="263">
        <f t="shared" si="5"/>
        <v>743812</v>
      </c>
      <c r="O42" s="263">
        <f t="shared" si="5"/>
        <v>19847</v>
      </c>
      <c r="P42" s="263">
        <f t="shared" si="5"/>
        <v>53538.979999999996</v>
      </c>
      <c r="Q42" s="313">
        <f t="shared" si="2"/>
        <v>7.1979182911811046</v>
      </c>
      <c r="R42" s="305"/>
      <c r="S42" s="305"/>
    </row>
    <row r="43" spans="1:19" ht="13" customHeight="1" x14ac:dyDescent="0.15">
      <c r="A43" s="105">
        <v>35</v>
      </c>
      <c r="B43" s="40" t="s">
        <v>193</v>
      </c>
      <c r="C43" s="286">
        <v>21</v>
      </c>
      <c r="D43" s="286">
        <v>947</v>
      </c>
      <c r="E43" s="286">
        <v>0</v>
      </c>
      <c r="F43" s="286">
        <v>0</v>
      </c>
      <c r="G43" s="312">
        <f t="shared" si="0"/>
        <v>0</v>
      </c>
      <c r="H43" s="286">
        <v>1628</v>
      </c>
      <c r="I43" s="286">
        <v>11471</v>
      </c>
      <c r="J43" s="286">
        <v>7</v>
      </c>
      <c r="K43" s="286">
        <v>20</v>
      </c>
      <c r="L43" s="312">
        <f t="shared" si="1"/>
        <v>0.17435271554354459</v>
      </c>
      <c r="M43" s="286">
        <v>8739</v>
      </c>
      <c r="N43" s="286">
        <v>39701</v>
      </c>
      <c r="O43" s="286">
        <v>163</v>
      </c>
      <c r="P43" s="286">
        <v>1632</v>
      </c>
      <c r="Q43" s="312">
        <f t="shared" si="2"/>
        <v>4.1107276894788543</v>
      </c>
    </row>
    <row r="44" spans="1:19" ht="13" customHeight="1" x14ac:dyDescent="0.15">
      <c r="A44" s="105">
        <v>36</v>
      </c>
      <c r="B44" s="40" t="s">
        <v>382</v>
      </c>
      <c r="C44" s="286">
        <v>0</v>
      </c>
      <c r="D44" s="286">
        <v>0</v>
      </c>
      <c r="E44" s="286">
        <v>0</v>
      </c>
      <c r="F44" s="286">
        <v>0</v>
      </c>
      <c r="G44" s="312">
        <v>0</v>
      </c>
      <c r="H44" s="286">
        <v>695</v>
      </c>
      <c r="I44" s="286">
        <v>2674</v>
      </c>
      <c r="J44" s="286">
        <v>20</v>
      </c>
      <c r="K44" s="286">
        <v>66.260000000000005</v>
      </c>
      <c r="L44" s="312">
        <f t="shared" si="1"/>
        <v>2.4779356768885568</v>
      </c>
      <c r="M44" s="286">
        <v>2932</v>
      </c>
      <c r="N44" s="286">
        <v>17782</v>
      </c>
      <c r="O44" s="286">
        <v>165</v>
      </c>
      <c r="P44" s="286">
        <v>1077.58</v>
      </c>
      <c r="Q44" s="312">
        <f t="shared" si="2"/>
        <v>6.0599482622877066</v>
      </c>
    </row>
    <row r="45" spans="1:19" s="43" customFormat="1" ht="13" customHeight="1" x14ac:dyDescent="0.15">
      <c r="A45" s="293"/>
      <c r="B45" s="42" t="s">
        <v>216</v>
      </c>
      <c r="C45" s="287">
        <f>SUM(C43:C44)</f>
        <v>21</v>
      </c>
      <c r="D45" s="287">
        <f t="shared" ref="D45:P45" si="6">SUM(D43:D44)</f>
        <v>947</v>
      </c>
      <c r="E45" s="287">
        <f t="shared" si="6"/>
        <v>0</v>
      </c>
      <c r="F45" s="287">
        <f t="shared" si="6"/>
        <v>0</v>
      </c>
      <c r="G45" s="313">
        <f t="shared" si="0"/>
        <v>0</v>
      </c>
      <c r="H45" s="287">
        <f t="shared" si="6"/>
        <v>2323</v>
      </c>
      <c r="I45" s="287">
        <f t="shared" si="6"/>
        <v>14145</v>
      </c>
      <c r="J45" s="287">
        <f t="shared" si="6"/>
        <v>27</v>
      </c>
      <c r="K45" s="287">
        <f t="shared" si="6"/>
        <v>86.26</v>
      </c>
      <c r="L45" s="313">
        <f t="shared" si="1"/>
        <v>0.60982679392011307</v>
      </c>
      <c r="M45" s="287">
        <f t="shared" si="6"/>
        <v>11671</v>
      </c>
      <c r="N45" s="287">
        <f t="shared" si="6"/>
        <v>57483</v>
      </c>
      <c r="O45" s="287">
        <f t="shared" si="6"/>
        <v>328</v>
      </c>
      <c r="P45" s="287">
        <f t="shared" si="6"/>
        <v>2709.58</v>
      </c>
      <c r="Q45" s="313">
        <f t="shared" si="2"/>
        <v>4.7137066610998035</v>
      </c>
      <c r="R45" s="305"/>
      <c r="S45" s="305"/>
    </row>
    <row r="46" spans="1:19" ht="13" customHeight="1" x14ac:dyDescent="0.15">
      <c r="A46" s="105">
        <v>37</v>
      </c>
      <c r="B46" s="40" t="s">
        <v>312</v>
      </c>
      <c r="C46" s="286">
        <v>0</v>
      </c>
      <c r="D46" s="286">
        <v>0</v>
      </c>
      <c r="E46" s="286">
        <v>0</v>
      </c>
      <c r="F46" s="286">
        <v>0</v>
      </c>
      <c r="G46" s="312">
        <v>0</v>
      </c>
      <c r="H46" s="286">
        <v>119</v>
      </c>
      <c r="I46" s="286">
        <v>373</v>
      </c>
      <c r="J46" s="286">
        <v>0</v>
      </c>
      <c r="K46" s="286">
        <v>0</v>
      </c>
      <c r="L46" s="312">
        <f t="shared" si="1"/>
        <v>0</v>
      </c>
      <c r="M46" s="286">
        <v>1633</v>
      </c>
      <c r="N46" s="286">
        <v>10516</v>
      </c>
      <c r="O46" s="286">
        <v>7</v>
      </c>
      <c r="P46" s="286">
        <v>854</v>
      </c>
      <c r="Q46" s="312">
        <f t="shared" si="2"/>
        <v>8.1209585393685817</v>
      </c>
    </row>
    <row r="47" spans="1:19" s="43" customFormat="1" ht="13" customHeight="1" x14ac:dyDescent="0.15">
      <c r="A47" s="293"/>
      <c r="B47" s="42" t="s">
        <v>214</v>
      </c>
      <c r="C47" s="287">
        <f>C46</f>
        <v>0</v>
      </c>
      <c r="D47" s="287">
        <f t="shared" ref="D47:P47" si="7">D46</f>
        <v>0</v>
      </c>
      <c r="E47" s="287">
        <f t="shared" si="7"/>
        <v>0</v>
      </c>
      <c r="F47" s="287">
        <f t="shared" si="7"/>
        <v>0</v>
      </c>
      <c r="G47" s="313">
        <v>0</v>
      </c>
      <c r="H47" s="287">
        <f t="shared" si="7"/>
        <v>119</v>
      </c>
      <c r="I47" s="287">
        <f t="shared" si="7"/>
        <v>373</v>
      </c>
      <c r="J47" s="287">
        <f t="shared" si="7"/>
        <v>0</v>
      </c>
      <c r="K47" s="287">
        <f t="shared" si="7"/>
        <v>0</v>
      </c>
      <c r="L47" s="313">
        <f t="shared" si="1"/>
        <v>0</v>
      </c>
      <c r="M47" s="287">
        <f t="shared" si="7"/>
        <v>1633</v>
      </c>
      <c r="N47" s="287">
        <f t="shared" si="7"/>
        <v>10516</v>
      </c>
      <c r="O47" s="287">
        <f t="shared" si="7"/>
        <v>7</v>
      </c>
      <c r="P47" s="287">
        <f t="shared" si="7"/>
        <v>854</v>
      </c>
      <c r="Q47" s="313">
        <f t="shared" si="2"/>
        <v>8.1209585393685817</v>
      </c>
      <c r="R47" s="305"/>
      <c r="S47" s="305"/>
    </row>
    <row r="48" spans="1:19" s="43" customFormat="1" ht="13" customHeight="1" x14ac:dyDescent="0.15">
      <c r="A48" s="105">
        <v>38</v>
      </c>
      <c r="B48" s="40" t="s">
        <v>304</v>
      </c>
      <c r="C48" s="286">
        <v>0</v>
      </c>
      <c r="D48" s="286">
        <v>0</v>
      </c>
      <c r="E48" s="286">
        <v>0</v>
      </c>
      <c r="F48" s="286">
        <v>0</v>
      </c>
      <c r="G48" s="312">
        <v>0</v>
      </c>
      <c r="H48" s="286">
        <v>125</v>
      </c>
      <c r="I48" s="286">
        <v>652</v>
      </c>
      <c r="J48" s="286">
        <v>0</v>
      </c>
      <c r="K48" s="286">
        <v>0</v>
      </c>
      <c r="L48" s="312">
        <f t="shared" si="1"/>
        <v>0</v>
      </c>
      <c r="M48" s="286">
        <v>825</v>
      </c>
      <c r="N48" s="286">
        <v>4406</v>
      </c>
      <c r="O48" s="286">
        <v>64</v>
      </c>
      <c r="P48" s="286">
        <v>1302.94</v>
      </c>
      <c r="Q48" s="312">
        <f t="shared" si="2"/>
        <v>29.571947344530187</v>
      </c>
      <c r="R48" s="305"/>
      <c r="S48" s="305"/>
    </row>
    <row r="49" spans="1:19" ht="13" customHeight="1" x14ac:dyDescent="0.15">
      <c r="A49" s="105">
        <v>39</v>
      </c>
      <c r="B49" s="40" t="s">
        <v>305</v>
      </c>
      <c r="C49" s="286">
        <v>0</v>
      </c>
      <c r="D49" s="286">
        <v>0</v>
      </c>
      <c r="E49" s="286">
        <v>0</v>
      </c>
      <c r="F49" s="286">
        <v>0</v>
      </c>
      <c r="G49" s="312">
        <v>0</v>
      </c>
      <c r="H49" s="286">
        <v>84</v>
      </c>
      <c r="I49" s="286">
        <v>452</v>
      </c>
      <c r="J49" s="286">
        <v>0</v>
      </c>
      <c r="K49" s="286">
        <v>0</v>
      </c>
      <c r="L49" s="312">
        <f t="shared" si="1"/>
        <v>0</v>
      </c>
      <c r="M49" s="286">
        <v>541</v>
      </c>
      <c r="N49" s="286">
        <v>2569</v>
      </c>
      <c r="O49" s="286">
        <v>34</v>
      </c>
      <c r="P49" s="286">
        <v>340</v>
      </c>
      <c r="Q49" s="312">
        <f t="shared" si="2"/>
        <v>13.234721681588166</v>
      </c>
    </row>
    <row r="50" spans="1:19" s="176" customFormat="1" ht="13" customHeight="1" x14ac:dyDescent="0.15">
      <c r="A50" s="310">
        <v>40</v>
      </c>
      <c r="B50" s="311" t="s">
        <v>383</v>
      </c>
      <c r="C50" s="286">
        <v>0</v>
      </c>
      <c r="D50" s="286">
        <v>0</v>
      </c>
      <c r="E50" s="286">
        <v>0</v>
      </c>
      <c r="F50" s="286">
        <v>0</v>
      </c>
      <c r="G50" s="312">
        <v>0</v>
      </c>
      <c r="H50" s="286">
        <v>14</v>
      </c>
      <c r="I50" s="286">
        <v>222</v>
      </c>
      <c r="J50" s="286">
        <v>11</v>
      </c>
      <c r="K50" s="286">
        <v>2.6</v>
      </c>
      <c r="L50" s="312">
        <f t="shared" si="1"/>
        <v>1.1711711711711712</v>
      </c>
      <c r="M50" s="286">
        <v>216</v>
      </c>
      <c r="N50" s="286">
        <v>1058</v>
      </c>
      <c r="O50" s="286">
        <v>1</v>
      </c>
      <c r="P50" s="286">
        <v>2.2000000000000002</v>
      </c>
      <c r="Q50" s="312">
        <f t="shared" si="2"/>
        <v>0.20793950850661627</v>
      </c>
      <c r="R50" s="305"/>
      <c r="S50" s="305"/>
    </row>
    <row r="51" spans="1:19" s="43" customFormat="1" ht="13" customHeight="1" x14ac:dyDescent="0.15">
      <c r="A51" s="105">
        <v>41</v>
      </c>
      <c r="B51" s="40" t="s">
        <v>306</v>
      </c>
      <c r="C51" s="286">
        <v>0</v>
      </c>
      <c r="D51" s="286">
        <v>0</v>
      </c>
      <c r="E51" s="286">
        <v>0</v>
      </c>
      <c r="F51" s="286">
        <v>0</v>
      </c>
      <c r="G51" s="312">
        <v>0</v>
      </c>
      <c r="H51" s="286">
        <v>18</v>
      </c>
      <c r="I51" s="286">
        <v>164</v>
      </c>
      <c r="J51" s="286">
        <v>0</v>
      </c>
      <c r="K51" s="286">
        <v>0</v>
      </c>
      <c r="L51" s="312">
        <f t="shared" si="1"/>
        <v>0</v>
      </c>
      <c r="M51" s="286">
        <v>192</v>
      </c>
      <c r="N51" s="286">
        <v>972</v>
      </c>
      <c r="O51" s="286">
        <v>0</v>
      </c>
      <c r="P51" s="286">
        <v>0</v>
      </c>
      <c r="Q51" s="312">
        <f t="shared" si="2"/>
        <v>0</v>
      </c>
      <c r="R51" s="305"/>
      <c r="S51" s="305"/>
    </row>
    <row r="52" spans="1:19" ht="13" customHeight="1" x14ac:dyDescent="0.15">
      <c r="A52" s="105">
        <v>42</v>
      </c>
      <c r="B52" s="40" t="s">
        <v>307</v>
      </c>
      <c r="C52" s="286">
        <v>0</v>
      </c>
      <c r="D52" s="286">
        <v>0</v>
      </c>
      <c r="E52" s="286">
        <v>0</v>
      </c>
      <c r="F52" s="286">
        <v>0</v>
      </c>
      <c r="G52" s="312">
        <v>0</v>
      </c>
      <c r="H52" s="286">
        <v>33</v>
      </c>
      <c r="I52" s="286">
        <v>255</v>
      </c>
      <c r="J52" s="286">
        <v>0</v>
      </c>
      <c r="K52" s="286">
        <v>0</v>
      </c>
      <c r="L52" s="312">
        <f t="shared" si="1"/>
        <v>0</v>
      </c>
      <c r="M52" s="286">
        <v>230</v>
      </c>
      <c r="N52" s="286">
        <v>1516</v>
      </c>
      <c r="O52" s="286">
        <v>467</v>
      </c>
      <c r="P52" s="286">
        <v>880</v>
      </c>
      <c r="Q52" s="312">
        <f t="shared" si="2"/>
        <v>58.047493403693935</v>
      </c>
    </row>
    <row r="53" spans="1:19" s="43" customFormat="1" ht="13" customHeight="1" x14ac:dyDescent="0.15">
      <c r="A53" s="105">
        <v>43</v>
      </c>
      <c r="B53" s="40" t="s">
        <v>308</v>
      </c>
      <c r="C53" s="286">
        <v>0</v>
      </c>
      <c r="D53" s="286">
        <v>0</v>
      </c>
      <c r="E53" s="286">
        <v>0</v>
      </c>
      <c r="F53" s="286">
        <v>0</v>
      </c>
      <c r="G53" s="312">
        <v>0</v>
      </c>
      <c r="H53" s="286">
        <v>35</v>
      </c>
      <c r="I53" s="286">
        <v>220</v>
      </c>
      <c r="J53" s="286">
        <v>0</v>
      </c>
      <c r="K53" s="286">
        <v>0</v>
      </c>
      <c r="L53" s="312">
        <f t="shared" si="1"/>
        <v>0</v>
      </c>
      <c r="M53" s="286">
        <v>341</v>
      </c>
      <c r="N53" s="286">
        <v>1594</v>
      </c>
      <c r="O53" s="286">
        <v>8</v>
      </c>
      <c r="P53" s="286">
        <v>67.28</v>
      </c>
      <c r="Q53" s="312">
        <f t="shared" si="2"/>
        <v>4.2208281053952321</v>
      </c>
      <c r="R53" s="305"/>
      <c r="S53" s="305"/>
    </row>
    <row r="54" spans="1:19" ht="13" customHeight="1" x14ac:dyDescent="0.15">
      <c r="A54" s="105">
        <v>44</v>
      </c>
      <c r="B54" s="40" t="s">
        <v>300</v>
      </c>
      <c r="C54" s="286">
        <v>0</v>
      </c>
      <c r="D54" s="286">
        <v>0</v>
      </c>
      <c r="E54" s="286">
        <v>0</v>
      </c>
      <c r="F54" s="286">
        <v>0</v>
      </c>
      <c r="G54" s="312">
        <v>0</v>
      </c>
      <c r="H54" s="286">
        <v>16</v>
      </c>
      <c r="I54" s="286">
        <v>114</v>
      </c>
      <c r="J54" s="286">
        <v>0</v>
      </c>
      <c r="K54" s="286">
        <v>0</v>
      </c>
      <c r="L54" s="312">
        <f t="shared" si="1"/>
        <v>0</v>
      </c>
      <c r="M54" s="286">
        <v>202</v>
      </c>
      <c r="N54" s="286">
        <v>1148</v>
      </c>
      <c r="O54" s="286">
        <v>142</v>
      </c>
      <c r="P54" s="286">
        <v>230.71</v>
      </c>
      <c r="Q54" s="312">
        <f t="shared" si="2"/>
        <v>20.096689895470384</v>
      </c>
    </row>
    <row r="55" spans="1:19" ht="13" customHeight="1" x14ac:dyDescent="0.15">
      <c r="A55" s="105">
        <v>45</v>
      </c>
      <c r="B55" s="40" t="s">
        <v>309</v>
      </c>
      <c r="C55" s="286">
        <v>0</v>
      </c>
      <c r="D55" s="286">
        <v>0</v>
      </c>
      <c r="E55" s="286">
        <v>0</v>
      </c>
      <c r="F55" s="286">
        <v>0</v>
      </c>
      <c r="G55" s="312">
        <v>0</v>
      </c>
      <c r="H55" s="286">
        <v>241</v>
      </c>
      <c r="I55" s="286">
        <v>519</v>
      </c>
      <c r="J55" s="286">
        <v>0</v>
      </c>
      <c r="K55" s="286">
        <v>0</v>
      </c>
      <c r="L55" s="312">
        <f t="shared" si="1"/>
        <v>0</v>
      </c>
      <c r="M55" s="286">
        <v>437</v>
      </c>
      <c r="N55" s="286">
        <v>1956</v>
      </c>
      <c r="O55" s="286">
        <v>1</v>
      </c>
      <c r="P55" s="286">
        <v>12</v>
      </c>
      <c r="Q55" s="312">
        <f t="shared" si="2"/>
        <v>0.61349693251533743</v>
      </c>
    </row>
    <row r="56" spans="1:19" s="43" customFormat="1" ht="13" customHeight="1" x14ac:dyDescent="0.15">
      <c r="A56" s="293"/>
      <c r="B56" s="42" t="s">
        <v>310</v>
      </c>
      <c r="C56" s="287">
        <f>SUM(C48:C55)</f>
        <v>0</v>
      </c>
      <c r="D56" s="287">
        <f t="shared" ref="D56:P56" si="8">SUM(D48:D55)</f>
        <v>0</v>
      </c>
      <c r="E56" s="287">
        <f t="shared" si="8"/>
        <v>0</v>
      </c>
      <c r="F56" s="287">
        <f t="shared" si="8"/>
        <v>0</v>
      </c>
      <c r="G56" s="313">
        <v>0</v>
      </c>
      <c r="H56" s="287">
        <f t="shared" si="8"/>
        <v>566</v>
      </c>
      <c r="I56" s="287">
        <f t="shared" si="8"/>
        <v>2598</v>
      </c>
      <c r="J56" s="287">
        <f t="shared" si="8"/>
        <v>11</v>
      </c>
      <c r="K56" s="287">
        <f t="shared" si="8"/>
        <v>2.6</v>
      </c>
      <c r="L56" s="313">
        <f t="shared" si="1"/>
        <v>0.10007698229407236</v>
      </c>
      <c r="M56" s="287">
        <f t="shared" si="8"/>
        <v>2984</v>
      </c>
      <c r="N56" s="287">
        <f t="shared" si="8"/>
        <v>15219</v>
      </c>
      <c r="O56" s="287">
        <f t="shared" si="8"/>
        <v>717</v>
      </c>
      <c r="P56" s="287">
        <f t="shared" si="8"/>
        <v>2835.1300000000006</v>
      </c>
      <c r="Q56" s="313">
        <f t="shared" si="2"/>
        <v>18.628884946448522</v>
      </c>
      <c r="R56" s="305"/>
      <c r="S56" s="305"/>
    </row>
    <row r="57" spans="1:19" s="43" customFormat="1" ht="13" customHeight="1" x14ac:dyDescent="0.15">
      <c r="A57" s="42"/>
      <c r="B57" s="42" t="s">
        <v>0</v>
      </c>
      <c r="C57" s="287">
        <f>C56+C47+C45+C42</f>
        <v>1405</v>
      </c>
      <c r="D57" s="287">
        <f t="shared" ref="D57:P57" si="9">D56+D47+D45+D42</f>
        <v>86416</v>
      </c>
      <c r="E57" s="287">
        <f t="shared" si="9"/>
        <v>23</v>
      </c>
      <c r="F57" s="287">
        <f t="shared" si="9"/>
        <v>6442.0300000000007</v>
      </c>
      <c r="G57" s="313">
        <f t="shared" si="0"/>
        <v>7.4546727457878186</v>
      </c>
      <c r="H57" s="287">
        <f t="shared" si="9"/>
        <v>24552</v>
      </c>
      <c r="I57" s="287">
        <f t="shared" si="9"/>
        <v>134529</v>
      </c>
      <c r="J57" s="287">
        <f t="shared" si="9"/>
        <v>4305</v>
      </c>
      <c r="K57" s="287">
        <f t="shared" si="9"/>
        <v>6211.96</v>
      </c>
      <c r="L57" s="313">
        <f t="shared" si="1"/>
        <v>4.6175620126515469</v>
      </c>
      <c r="M57" s="287">
        <f t="shared" si="9"/>
        <v>131978</v>
      </c>
      <c r="N57" s="287">
        <f t="shared" si="9"/>
        <v>827030</v>
      </c>
      <c r="O57" s="287">
        <f t="shared" si="9"/>
        <v>20899</v>
      </c>
      <c r="P57" s="287">
        <f t="shared" si="9"/>
        <v>59937.689999999995</v>
      </c>
      <c r="Q57" s="313">
        <f t="shared" si="2"/>
        <v>7.247341692562542</v>
      </c>
      <c r="R57" s="305"/>
      <c r="S57" s="305"/>
    </row>
    <row r="58" spans="1:19" x14ac:dyDescent="0.2">
      <c r="I58" s="46" t="s">
        <v>1080</v>
      </c>
    </row>
    <row r="59" spans="1:19" x14ac:dyDescent="0.2">
      <c r="L59" s="45"/>
    </row>
    <row r="61" spans="1:19" x14ac:dyDescent="0.2">
      <c r="G61" s="45"/>
      <c r="L61" s="45"/>
      <c r="Q61" s="45"/>
    </row>
    <row r="62" spans="1:19" x14ac:dyDescent="0.2">
      <c r="J62" s="46"/>
      <c r="K62" s="46"/>
    </row>
  </sheetData>
  <mergeCells count="16">
    <mergeCell ref="Q3:Q5"/>
    <mergeCell ref="A1:Q1"/>
    <mergeCell ref="A3:A5"/>
    <mergeCell ref="B3:B5"/>
    <mergeCell ref="E4:F4"/>
    <mergeCell ref="J4:K4"/>
    <mergeCell ref="O4:P4"/>
    <mergeCell ref="G3:G5"/>
    <mergeCell ref="C3:F3"/>
    <mergeCell ref="C4:D4"/>
    <mergeCell ref="H3:K3"/>
    <mergeCell ref="N2:P2"/>
    <mergeCell ref="H4:I4"/>
    <mergeCell ref="M3:P3"/>
    <mergeCell ref="M4:N4"/>
    <mergeCell ref="L3:L5"/>
  </mergeCells>
  <conditionalFormatting sqref="R1:S1048576">
    <cfRule type="cellIs" dxfId="23" priority="1" operator="greaterThan">
      <formula>100</formula>
    </cfRule>
    <cfRule type="cellIs" dxfId="22" priority="2" operator="greaterThan">
      <formula>100</formula>
    </cfRule>
    <cfRule type="cellIs" dxfId="21" priority="3" operator="greaterThan">
      <formula>100</formula>
    </cfRule>
  </conditionalFormatting>
  <pageMargins left="0.75" right="0.2" top="0.75" bottom="0.75" header="0.3" footer="0.3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W62"/>
  <sheetViews>
    <sheetView zoomScale="90" zoomScaleNormal="9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K58" sqref="K58"/>
    </sheetView>
  </sheetViews>
  <sheetFormatPr baseColWidth="10" defaultColWidth="4.3984375" defaultRowHeight="14" x14ac:dyDescent="0.2"/>
  <cols>
    <col min="1" max="1" width="4.3984375" style="36"/>
    <col min="2" max="2" width="21.796875" style="36" bestFit="1" customWidth="1"/>
    <col min="3" max="4" width="10.19921875" style="45" bestFit="1" customWidth="1"/>
    <col min="5" max="5" width="8" style="45" bestFit="1" customWidth="1"/>
    <col min="6" max="6" width="8.19921875" style="45" customWidth="1"/>
    <col min="7" max="7" width="8.19921875" style="44" customWidth="1"/>
    <col min="8" max="8" width="8" style="45" bestFit="1" customWidth="1"/>
    <col min="9" max="11" width="8.19921875" style="45" customWidth="1"/>
    <col min="12" max="12" width="9.3984375" style="44" customWidth="1"/>
    <col min="13" max="13" width="8" style="45" bestFit="1" customWidth="1"/>
    <col min="14" max="14" width="8.19921875" style="45" customWidth="1"/>
    <col min="15" max="15" width="8.59765625" style="45" customWidth="1"/>
    <col min="16" max="16" width="9.19921875" style="45" customWidth="1"/>
    <col min="17" max="17" width="10.19921875" style="45" customWidth="1"/>
    <col min="18" max="18" width="10.796875" style="45" customWidth="1"/>
    <col min="19" max="19" width="10.19921875" style="46" customWidth="1"/>
    <col min="20" max="20" width="10.3984375" style="46" customWidth="1"/>
    <col min="21" max="21" width="8" style="44" customWidth="1"/>
    <col min="22" max="23" width="7.796875" style="305" bestFit="1" customWidth="1"/>
    <col min="24" max="16384" width="4.3984375" style="36"/>
  </cols>
  <sheetData>
    <row r="1" spans="1:21" ht="18" x14ac:dyDescent="0.2">
      <c r="A1" s="438" t="s">
        <v>1029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</row>
    <row r="2" spans="1:21" x14ac:dyDescent="0.2">
      <c r="B2" s="43" t="s">
        <v>124</v>
      </c>
      <c r="J2" s="45" t="s">
        <v>132</v>
      </c>
      <c r="P2" s="46" t="s">
        <v>154</v>
      </c>
      <c r="Q2" s="46"/>
      <c r="R2" s="46"/>
    </row>
    <row r="3" spans="1:21" ht="15" customHeight="1" x14ac:dyDescent="0.2">
      <c r="A3" s="419" t="s">
        <v>110</v>
      </c>
      <c r="B3" s="419" t="s">
        <v>94</v>
      </c>
      <c r="C3" s="411" t="s">
        <v>32</v>
      </c>
      <c r="D3" s="411"/>
      <c r="E3" s="411"/>
      <c r="F3" s="411"/>
      <c r="G3" s="411" t="s">
        <v>148</v>
      </c>
      <c r="H3" s="411" t="s">
        <v>33</v>
      </c>
      <c r="I3" s="411"/>
      <c r="J3" s="411"/>
      <c r="K3" s="411"/>
      <c r="L3" s="411" t="s">
        <v>148</v>
      </c>
      <c r="M3" s="411" t="s">
        <v>47</v>
      </c>
      <c r="N3" s="411"/>
      <c r="O3" s="411"/>
      <c r="P3" s="411"/>
      <c r="Q3" s="411" t="s">
        <v>48</v>
      </c>
      <c r="R3" s="411"/>
      <c r="S3" s="411"/>
      <c r="T3" s="411"/>
      <c r="U3" s="411" t="s">
        <v>148</v>
      </c>
    </row>
    <row r="4" spans="1:21" ht="15" customHeight="1" x14ac:dyDescent="0.2">
      <c r="A4" s="419"/>
      <c r="B4" s="419"/>
      <c r="C4" s="411" t="s">
        <v>19</v>
      </c>
      <c r="D4" s="411"/>
      <c r="E4" s="411" t="s">
        <v>149</v>
      </c>
      <c r="F4" s="411"/>
      <c r="G4" s="411"/>
      <c r="H4" s="411" t="s">
        <v>19</v>
      </c>
      <c r="I4" s="411"/>
      <c r="J4" s="411" t="s">
        <v>149</v>
      </c>
      <c r="K4" s="411"/>
      <c r="L4" s="411"/>
      <c r="M4" s="411" t="s">
        <v>19</v>
      </c>
      <c r="N4" s="411"/>
      <c r="O4" s="411" t="s">
        <v>149</v>
      </c>
      <c r="P4" s="411"/>
      <c r="Q4" s="411" t="s">
        <v>19</v>
      </c>
      <c r="R4" s="411"/>
      <c r="S4" s="411" t="s">
        <v>149</v>
      </c>
      <c r="T4" s="411"/>
      <c r="U4" s="411"/>
    </row>
    <row r="5" spans="1:21" ht="15" customHeight="1" x14ac:dyDescent="0.2">
      <c r="A5" s="419"/>
      <c r="B5" s="419"/>
      <c r="C5" s="293" t="s">
        <v>114</v>
      </c>
      <c r="D5" s="293" t="s">
        <v>93</v>
      </c>
      <c r="E5" s="293" t="s">
        <v>114</v>
      </c>
      <c r="F5" s="293" t="s">
        <v>93</v>
      </c>
      <c r="G5" s="411"/>
      <c r="H5" s="293" t="s">
        <v>114</v>
      </c>
      <c r="I5" s="293" t="s">
        <v>93</v>
      </c>
      <c r="J5" s="293" t="s">
        <v>114</v>
      </c>
      <c r="K5" s="293" t="s">
        <v>93</v>
      </c>
      <c r="L5" s="411"/>
      <c r="M5" s="212" t="s">
        <v>114</v>
      </c>
      <c r="N5" s="212" t="s">
        <v>93</v>
      </c>
      <c r="O5" s="293" t="s">
        <v>114</v>
      </c>
      <c r="P5" s="293" t="s">
        <v>93</v>
      </c>
      <c r="Q5" s="293" t="s">
        <v>114</v>
      </c>
      <c r="R5" s="293" t="s">
        <v>93</v>
      </c>
      <c r="S5" s="293" t="s">
        <v>114</v>
      </c>
      <c r="T5" s="293" t="s">
        <v>93</v>
      </c>
      <c r="U5" s="411"/>
    </row>
    <row r="6" spans="1:21" ht="13" customHeight="1" x14ac:dyDescent="0.2">
      <c r="A6" s="105">
        <v>1</v>
      </c>
      <c r="B6" s="40" t="s">
        <v>51</v>
      </c>
      <c r="C6" s="206">
        <v>1574</v>
      </c>
      <c r="D6" s="206">
        <v>5068</v>
      </c>
      <c r="E6" s="206">
        <v>1</v>
      </c>
      <c r="F6" s="206">
        <v>15</v>
      </c>
      <c r="G6" s="312">
        <f>F6*100/D6</f>
        <v>0.29597474348855562</v>
      </c>
      <c r="H6" s="206">
        <v>1300</v>
      </c>
      <c r="I6" s="206">
        <v>3652</v>
      </c>
      <c r="J6" s="206">
        <v>1</v>
      </c>
      <c r="K6" s="206">
        <v>5</v>
      </c>
      <c r="L6" s="312">
        <f>K6*100/I6</f>
        <v>0.13691128148959475</v>
      </c>
      <c r="M6" s="40">
        <v>37</v>
      </c>
      <c r="N6" s="40">
        <v>483</v>
      </c>
      <c r="O6" s="206">
        <v>970</v>
      </c>
      <c r="P6" s="206">
        <v>1754</v>
      </c>
      <c r="Q6" s="40">
        <f>M6+H6+C6+'ACP_PS_11(i)'!M6+'ACP_PS_11(i)'!H6+'ACP_PS_11(i)'!C6+ACP_MSME_10!C6+'ACP_Agri_9(ii)'!M6</f>
        <v>232463</v>
      </c>
      <c r="R6" s="40">
        <f>N6+I6+D6+'ACP_PS_11(i)'!N6+'ACP_PS_11(i)'!I6+'ACP_PS_11(i)'!D6+ACP_MSME_10!D6+'ACP_Agri_9(ii)'!N6</f>
        <v>732622</v>
      </c>
      <c r="S6" s="40">
        <f>O6+J6+E6+'ACP_PS_11(i)'!O6+'ACP_PS_11(i)'!J6+'ACP_PS_11(i)'!E6+ACP_MSME_10!O6+'ACP_Agri_9(ii)'!O6</f>
        <v>14639</v>
      </c>
      <c r="T6" s="40">
        <f>P6+K6+F6+'ACP_PS_11(i)'!P6+'ACP_PS_11(i)'!K6+'ACP_PS_11(i)'!F6+ACP_MSME_10!P6+'ACP_Agri_9(ii)'!P6</f>
        <v>28240</v>
      </c>
      <c r="U6" s="312">
        <f>T6*100/R6</f>
        <v>3.8546480995656696</v>
      </c>
    </row>
    <row r="7" spans="1:21" ht="13" customHeight="1" x14ac:dyDescent="0.2">
      <c r="A7" s="105">
        <v>2</v>
      </c>
      <c r="B7" s="40" t="s">
        <v>52</v>
      </c>
      <c r="C7" s="206">
        <v>2451</v>
      </c>
      <c r="D7" s="206">
        <v>7311</v>
      </c>
      <c r="E7" s="206">
        <v>15</v>
      </c>
      <c r="F7" s="206">
        <v>394</v>
      </c>
      <c r="G7" s="312">
        <f t="shared" ref="G7:G57" si="0">F7*100/D7</f>
        <v>5.3891396525783071</v>
      </c>
      <c r="H7" s="206">
        <v>1696</v>
      </c>
      <c r="I7" s="206">
        <v>4339</v>
      </c>
      <c r="J7" s="206">
        <v>0</v>
      </c>
      <c r="K7" s="206">
        <v>0</v>
      </c>
      <c r="L7" s="312">
        <f t="shared" ref="L7:L57" si="1">K7*100/I7</f>
        <v>0</v>
      </c>
      <c r="M7" s="40">
        <v>24</v>
      </c>
      <c r="N7" s="40">
        <v>377</v>
      </c>
      <c r="O7" s="206">
        <v>80</v>
      </c>
      <c r="P7" s="206">
        <v>2140</v>
      </c>
      <c r="Q7" s="40">
        <f>M7+H7+C7+'ACP_PS_11(i)'!M7+'ACP_PS_11(i)'!H7+'ACP_PS_11(i)'!C7+ACP_MSME_10!C7+'ACP_Agri_9(ii)'!M7</f>
        <v>507188</v>
      </c>
      <c r="R7" s="40">
        <f>N7+I7+D7+'ACP_PS_11(i)'!N7+'ACP_PS_11(i)'!I7+'ACP_PS_11(i)'!D7+ACP_MSME_10!D7+'ACP_Agri_9(ii)'!N7</f>
        <v>1326249</v>
      </c>
      <c r="S7" s="40">
        <f>O7+J7+E7+'ACP_PS_11(i)'!O7+'ACP_PS_11(i)'!J7+'ACP_PS_11(i)'!E7+ACP_MSME_10!O7+'ACP_Agri_9(ii)'!O7</f>
        <v>197927</v>
      </c>
      <c r="T7" s="40">
        <f>P7+K7+F7+'ACP_PS_11(i)'!P7+'ACP_PS_11(i)'!K7+'ACP_PS_11(i)'!F7+ACP_MSME_10!P7+'ACP_Agri_9(ii)'!P7</f>
        <v>399643.97</v>
      </c>
      <c r="U7" s="312">
        <f t="shared" ref="U7:U57" si="2">T7*100/R7</f>
        <v>30.133404059117105</v>
      </c>
    </row>
    <row r="8" spans="1:21" ht="13" customHeight="1" x14ac:dyDescent="0.2">
      <c r="A8" s="105">
        <v>3</v>
      </c>
      <c r="B8" s="40" t="s">
        <v>53</v>
      </c>
      <c r="C8" s="206">
        <v>361</v>
      </c>
      <c r="D8" s="206">
        <v>1581</v>
      </c>
      <c r="E8" s="206">
        <v>0</v>
      </c>
      <c r="F8" s="206">
        <v>0</v>
      </c>
      <c r="G8" s="312">
        <f t="shared" si="0"/>
        <v>0</v>
      </c>
      <c r="H8" s="206">
        <v>447</v>
      </c>
      <c r="I8" s="206">
        <v>1525</v>
      </c>
      <c r="J8" s="206">
        <v>0</v>
      </c>
      <c r="K8" s="206">
        <v>0</v>
      </c>
      <c r="L8" s="312">
        <f t="shared" si="1"/>
        <v>0</v>
      </c>
      <c r="M8" s="40">
        <v>74</v>
      </c>
      <c r="N8" s="40">
        <v>1034</v>
      </c>
      <c r="O8" s="207">
        <v>19239</v>
      </c>
      <c r="P8" s="207">
        <v>29017.5</v>
      </c>
      <c r="Q8" s="40">
        <f>M8+H8+C8+'ACP_PS_11(i)'!M8+'ACP_PS_11(i)'!H8+'ACP_PS_11(i)'!C8+ACP_MSME_10!C8+'ACP_Agri_9(ii)'!M8</f>
        <v>106683</v>
      </c>
      <c r="R8" s="40">
        <f>N8+I8+D8+'ACP_PS_11(i)'!N8+'ACP_PS_11(i)'!I8+'ACP_PS_11(i)'!D8+ACP_MSME_10!D8+'ACP_Agri_9(ii)'!N8</f>
        <v>345552</v>
      </c>
      <c r="S8" s="40">
        <f>O8+J8+E8+'ACP_PS_11(i)'!O8+'ACP_PS_11(i)'!J8+'ACP_PS_11(i)'!E8+ACP_MSME_10!O8+'ACP_Agri_9(ii)'!O8</f>
        <v>31519</v>
      </c>
      <c r="T8" s="40">
        <f>P8+K8+F8+'ACP_PS_11(i)'!P8+'ACP_PS_11(i)'!K8+'ACP_PS_11(i)'!F8+ACP_MSME_10!P8+'ACP_Agri_9(ii)'!P8</f>
        <v>59300.22</v>
      </c>
      <c r="U8" s="312">
        <f t="shared" si="2"/>
        <v>17.161011946103624</v>
      </c>
    </row>
    <row r="9" spans="1:21" ht="13" customHeight="1" x14ac:dyDescent="0.2">
      <c r="A9" s="105">
        <v>4</v>
      </c>
      <c r="B9" s="40" t="s">
        <v>54</v>
      </c>
      <c r="C9" s="206">
        <v>934</v>
      </c>
      <c r="D9" s="206">
        <v>3339</v>
      </c>
      <c r="E9" s="206">
        <v>6</v>
      </c>
      <c r="F9" s="206">
        <v>57</v>
      </c>
      <c r="G9" s="312">
        <f t="shared" si="0"/>
        <v>1.7070979335130279</v>
      </c>
      <c r="H9" s="206">
        <v>815</v>
      </c>
      <c r="I9" s="206">
        <v>3352</v>
      </c>
      <c r="J9" s="206">
        <v>0</v>
      </c>
      <c r="K9" s="206">
        <v>0</v>
      </c>
      <c r="L9" s="312">
        <f t="shared" si="1"/>
        <v>0</v>
      </c>
      <c r="M9" s="40">
        <v>92</v>
      </c>
      <c r="N9" s="40">
        <v>873</v>
      </c>
      <c r="O9" s="207">
        <v>139</v>
      </c>
      <c r="P9" s="207">
        <v>173</v>
      </c>
      <c r="Q9" s="40">
        <f>M9+H9+C9+'ACP_PS_11(i)'!M9+'ACP_PS_11(i)'!H9+'ACP_PS_11(i)'!C9+ACP_MSME_10!C9+'ACP_Agri_9(ii)'!M9</f>
        <v>151375</v>
      </c>
      <c r="R9" s="40">
        <f>N9+I9+D9+'ACP_PS_11(i)'!N9+'ACP_PS_11(i)'!I9+'ACP_PS_11(i)'!D9+ACP_MSME_10!D9+'ACP_Agri_9(ii)'!N9</f>
        <v>456133</v>
      </c>
      <c r="S9" s="40">
        <f>O9+J9+E9+'ACP_PS_11(i)'!O9+'ACP_PS_11(i)'!J9+'ACP_PS_11(i)'!E9+ACP_MSME_10!O9+'ACP_Agri_9(ii)'!O9</f>
        <v>4283</v>
      </c>
      <c r="T9" s="40">
        <f>P9+K9+F9+'ACP_PS_11(i)'!P9+'ACP_PS_11(i)'!K9+'ACP_PS_11(i)'!F9+ACP_MSME_10!P9+'ACP_Agri_9(ii)'!P9</f>
        <v>27119.847889999997</v>
      </c>
      <c r="U9" s="312">
        <f t="shared" si="2"/>
        <v>5.9456009299919099</v>
      </c>
    </row>
    <row r="10" spans="1:21" ht="13" customHeight="1" x14ac:dyDescent="0.2">
      <c r="A10" s="105">
        <v>5</v>
      </c>
      <c r="B10" s="40" t="s">
        <v>55</v>
      </c>
      <c r="C10" s="206">
        <v>848</v>
      </c>
      <c r="D10" s="206">
        <v>3477</v>
      </c>
      <c r="E10" s="206">
        <v>19</v>
      </c>
      <c r="F10" s="206">
        <v>335</v>
      </c>
      <c r="G10" s="312">
        <f t="shared" si="0"/>
        <v>9.6347425941903939</v>
      </c>
      <c r="H10" s="206">
        <v>913</v>
      </c>
      <c r="I10" s="206">
        <v>2491</v>
      </c>
      <c r="J10" s="206">
        <v>0</v>
      </c>
      <c r="K10" s="206">
        <v>0</v>
      </c>
      <c r="L10" s="312">
        <f t="shared" si="1"/>
        <v>0</v>
      </c>
      <c r="M10" s="40">
        <v>121</v>
      </c>
      <c r="N10" s="40">
        <v>1456</v>
      </c>
      <c r="O10" s="207">
        <v>21</v>
      </c>
      <c r="P10" s="207">
        <v>347</v>
      </c>
      <c r="Q10" s="40">
        <f>M10+H10+C10+'ACP_PS_11(i)'!M10+'ACP_PS_11(i)'!H10+'ACP_PS_11(i)'!C10+ACP_MSME_10!C10+'ACP_Agri_9(ii)'!M10</f>
        <v>506492</v>
      </c>
      <c r="R10" s="40">
        <f>N10+I10+D10+'ACP_PS_11(i)'!N10+'ACP_PS_11(i)'!I10+'ACP_PS_11(i)'!D10+ACP_MSME_10!D10+'ACP_Agri_9(ii)'!N10</f>
        <v>1526230</v>
      </c>
      <c r="S10" s="40">
        <f>O10+J10+E10+'ACP_PS_11(i)'!O10+'ACP_PS_11(i)'!J10+'ACP_PS_11(i)'!E10+ACP_MSME_10!O10+'ACP_Agri_9(ii)'!O10</f>
        <v>134433</v>
      </c>
      <c r="T10" s="40">
        <f>P10+K10+F10+'ACP_PS_11(i)'!P10+'ACP_PS_11(i)'!K10+'ACP_PS_11(i)'!F10+ACP_MSME_10!P10+'ACP_Agri_9(ii)'!P10</f>
        <v>313512</v>
      </c>
      <c r="U10" s="312">
        <f t="shared" si="2"/>
        <v>20.541595958669401</v>
      </c>
    </row>
    <row r="11" spans="1:21" ht="13" customHeight="1" x14ac:dyDescent="0.2">
      <c r="A11" s="105">
        <v>6</v>
      </c>
      <c r="B11" s="40" t="s">
        <v>56</v>
      </c>
      <c r="C11" s="206">
        <v>683</v>
      </c>
      <c r="D11" s="206">
        <v>2518</v>
      </c>
      <c r="E11" s="206">
        <v>0</v>
      </c>
      <c r="F11" s="206">
        <v>0</v>
      </c>
      <c r="G11" s="312">
        <f t="shared" si="0"/>
        <v>0</v>
      </c>
      <c r="H11" s="206">
        <v>668</v>
      </c>
      <c r="I11" s="206">
        <v>2071</v>
      </c>
      <c r="J11" s="206">
        <v>0</v>
      </c>
      <c r="K11" s="206">
        <v>0</v>
      </c>
      <c r="L11" s="312">
        <f t="shared" si="1"/>
        <v>0</v>
      </c>
      <c r="M11" s="40">
        <v>183</v>
      </c>
      <c r="N11" s="40">
        <v>949</v>
      </c>
      <c r="O11" s="206">
        <v>0</v>
      </c>
      <c r="P11" s="206">
        <v>0</v>
      </c>
      <c r="Q11" s="40">
        <f>M11+H11+C11+'ACP_PS_11(i)'!M11+'ACP_PS_11(i)'!H11+'ACP_PS_11(i)'!C11+ACP_MSME_10!C11+'ACP_Agri_9(ii)'!M11</f>
        <v>170664</v>
      </c>
      <c r="R11" s="40">
        <f>N11+I11+D11+'ACP_PS_11(i)'!N11+'ACP_PS_11(i)'!I11+'ACP_PS_11(i)'!D11+ACP_MSME_10!D11+'ACP_Agri_9(ii)'!N11</f>
        <v>525948</v>
      </c>
      <c r="S11" s="40">
        <f>O11+J11+E11+'ACP_PS_11(i)'!O11+'ACP_PS_11(i)'!J11+'ACP_PS_11(i)'!E11+ACP_MSME_10!O11+'ACP_Agri_9(ii)'!O11</f>
        <v>4033</v>
      </c>
      <c r="T11" s="40">
        <f>P11+K11+F11+'ACP_PS_11(i)'!P11+'ACP_PS_11(i)'!K11+'ACP_PS_11(i)'!F11+ACP_MSME_10!P11+'ACP_Agri_9(ii)'!P11</f>
        <v>7025</v>
      </c>
      <c r="U11" s="312">
        <f t="shared" si="2"/>
        <v>1.3356833755428292</v>
      </c>
    </row>
    <row r="12" spans="1:21" ht="13" customHeight="1" x14ac:dyDescent="0.2">
      <c r="A12" s="105">
        <v>7</v>
      </c>
      <c r="B12" s="40" t="s">
        <v>57</v>
      </c>
      <c r="C12" s="206">
        <v>239</v>
      </c>
      <c r="D12" s="206">
        <v>917</v>
      </c>
      <c r="E12" s="206">
        <v>0</v>
      </c>
      <c r="F12" s="206">
        <v>0</v>
      </c>
      <c r="G12" s="312">
        <f t="shared" si="0"/>
        <v>0</v>
      </c>
      <c r="H12" s="206">
        <v>123</v>
      </c>
      <c r="I12" s="206">
        <v>431</v>
      </c>
      <c r="J12" s="206">
        <v>0</v>
      </c>
      <c r="K12" s="206">
        <v>0</v>
      </c>
      <c r="L12" s="312">
        <f t="shared" si="1"/>
        <v>0</v>
      </c>
      <c r="M12" s="40">
        <v>18</v>
      </c>
      <c r="N12" s="40">
        <v>98</v>
      </c>
      <c r="O12" s="206">
        <v>0</v>
      </c>
      <c r="P12" s="206">
        <v>0</v>
      </c>
      <c r="Q12" s="40">
        <f>M12+H12+C12+'ACP_PS_11(i)'!M12+'ACP_PS_11(i)'!H12+'ACP_PS_11(i)'!C12+ACP_MSME_10!C12+'ACP_Agri_9(ii)'!M12</f>
        <v>23279</v>
      </c>
      <c r="R12" s="40">
        <f>N12+I12+D12+'ACP_PS_11(i)'!N12+'ACP_PS_11(i)'!I12+'ACP_PS_11(i)'!D12+ACP_MSME_10!D12+'ACP_Agri_9(ii)'!N12</f>
        <v>78457</v>
      </c>
      <c r="S12" s="40">
        <f>O12+J12+E12+'ACP_PS_11(i)'!O12+'ACP_PS_11(i)'!J12+'ACP_PS_11(i)'!E12+ACP_MSME_10!O12+'ACP_Agri_9(ii)'!O12</f>
        <v>1306</v>
      </c>
      <c r="T12" s="40">
        <f>P12+K12+F12+'ACP_PS_11(i)'!P12+'ACP_PS_11(i)'!K12+'ACP_PS_11(i)'!F12+ACP_MSME_10!P12+'ACP_Agri_9(ii)'!P12</f>
        <v>3513</v>
      </c>
      <c r="U12" s="312">
        <f t="shared" si="2"/>
        <v>4.4776119402985071</v>
      </c>
    </row>
    <row r="13" spans="1:21" ht="13" customHeight="1" x14ac:dyDescent="0.2">
      <c r="A13" s="105">
        <v>8</v>
      </c>
      <c r="B13" s="40" t="s">
        <v>178</v>
      </c>
      <c r="C13" s="206">
        <v>83</v>
      </c>
      <c r="D13" s="206">
        <v>284</v>
      </c>
      <c r="E13" s="206">
        <v>1</v>
      </c>
      <c r="F13" s="206">
        <v>3</v>
      </c>
      <c r="G13" s="312">
        <f t="shared" si="0"/>
        <v>1.056338028169014</v>
      </c>
      <c r="H13" s="206">
        <v>97</v>
      </c>
      <c r="I13" s="206">
        <v>841</v>
      </c>
      <c r="J13" s="206">
        <v>0</v>
      </c>
      <c r="K13" s="206">
        <v>0</v>
      </c>
      <c r="L13" s="312">
        <f t="shared" si="1"/>
        <v>0</v>
      </c>
      <c r="M13" s="40">
        <v>36</v>
      </c>
      <c r="N13" s="40">
        <v>362</v>
      </c>
      <c r="O13" s="206">
        <v>158</v>
      </c>
      <c r="P13" s="206">
        <v>871</v>
      </c>
      <c r="Q13" s="40">
        <f>M13+H13+C13+'ACP_PS_11(i)'!M13+'ACP_PS_11(i)'!H13+'ACP_PS_11(i)'!C13+ACP_MSME_10!C13+'ACP_Agri_9(ii)'!M13</f>
        <v>22800</v>
      </c>
      <c r="R13" s="40">
        <f>N13+I13+D13+'ACP_PS_11(i)'!N13+'ACP_PS_11(i)'!I13+'ACP_PS_11(i)'!D13+ACP_MSME_10!D13+'ACP_Agri_9(ii)'!N13</f>
        <v>75112</v>
      </c>
      <c r="S13" s="40">
        <f>O13+J13+E13+'ACP_PS_11(i)'!O13+'ACP_PS_11(i)'!J13+'ACP_PS_11(i)'!E13+ACP_MSME_10!O13+'ACP_Agri_9(ii)'!O13</f>
        <v>419</v>
      </c>
      <c r="T13" s="40">
        <f>P13+K13+F13+'ACP_PS_11(i)'!P13+'ACP_PS_11(i)'!K13+'ACP_PS_11(i)'!F13+ACP_MSME_10!P13+'ACP_Agri_9(ii)'!P13</f>
        <v>1788</v>
      </c>
      <c r="U13" s="312">
        <f t="shared" si="2"/>
        <v>2.3804452018319311</v>
      </c>
    </row>
    <row r="14" spans="1:21" ht="13" customHeight="1" x14ac:dyDescent="0.2">
      <c r="A14" s="105">
        <v>9</v>
      </c>
      <c r="B14" s="40" t="s">
        <v>58</v>
      </c>
      <c r="C14" s="206">
        <v>1866</v>
      </c>
      <c r="D14" s="206">
        <v>6476</v>
      </c>
      <c r="E14" s="206">
        <v>6</v>
      </c>
      <c r="F14" s="206">
        <v>1531.44</v>
      </c>
      <c r="G14" s="312">
        <f t="shared" si="0"/>
        <v>23.64793082149475</v>
      </c>
      <c r="H14" s="206">
        <v>1268</v>
      </c>
      <c r="I14" s="206">
        <v>4887</v>
      </c>
      <c r="J14" s="206">
        <v>26</v>
      </c>
      <c r="K14" s="206">
        <v>1452.69</v>
      </c>
      <c r="L14" s="312">
        <f t="shared" si="1"/>
        <v>29.7255985267035</v>
      </c>
      <c r="M14" s="40">
        <v>139</v>
      </c>
      <c r="N14" s="40">
        <v>1043</v>
      </c>
      <c r="O14" s="206">
        <v>0</v>
      </c>
      <c r="P14" s="206">
        <v>0</v>
      </c>
      <c r="Q14" s="40">
        <f>M14+H14+C14+'ACP_PS_11(i)'!M14+'ACP_PS_11(i)'!H14+'ACP_PS_11(i)'!C14+ACP_MSME_10!C14+'ACP_Agri_9(ii)'!M14</f>
        <v>344957</v>
      </c>
      <c r="R14" s="40">
        <f>N14+I14+D14+'ACP_PS_11(i)'!N14+'ACP_PS_11(i)'!I14+'ACP_PS_11(i)'!D14+ACP_MSME_10!D14+'ACP_Agri_9(ii)'!N14</f>
        <v>1113157</v>
      </c>
      <c r="S14" s="40">
        <f>O14+J14+E14+'ACP_PS_11(i)'!O14+'ACP_PS_11(i)'!J14+'ACP_PS_11(i)'!E14+ACP_MSME_10!O14+'ACP_Agri_9(ii)'!O14</f>
        <v>30551</v>
      </c>
      <c r="T14" s="40">
        <f>P14+K14+F14+'ACP_PS_11(i)'!P14+'ACP_PS_11(i)'!K14+'ACP_PS_11(i)'!F14+ACP_MSME_10!P14+'ACP_Agri_9(ii)'!P14</f>
        <v>78687.179999999993</v>
      </c>
      <c r="U14" s="312">
        <f t="shared" si="2"/>
        <v>7.0688303626532454</v>
      </c>
    </row>
    <row r="15" spans="1:21" ht="13" customHeight="1" x14ac:dyDescent="0.2">
      <c r="A15" s="105">
        <v>10</v>
      </c>
      <c r="B15" s="40" t="s">
        <v>64</v>
      </c>
      <c r="C15" s="207">
        <v>2938</v>
      </c>
      <c r="D15" s="207">
        <v>14190</v>
      </c>
      <c r="E15" s="207">
        <v>26</v>
      </c>
      <c r="F15" s="207">
        <v>60</v>
      </c>
      <c r="G15" s="312">
        <f t="shared" si="0"/>
        <v>0.42283298097251587</v>
      </c>
      <c r="H15" s="207">
        <v>3868</v>
      </c>
      <c r="I15" s="207">
        <v>10124</v>
      </c>
      <c r="J15" s="207">
        <v>8</v>
      </c>
      <c r="K15" s="207">
        <v>184</v>
      </c>
      <c r="L15" s="312">
        <f t="shared" si="1"/>
        <v>1.8174634531805611</v>
      </c>
      <c r="M15" s="40">
        <v>458</v>
      </c>
      <c r="N15" s="40">
        <v>5508</v>
      </c>
      <c r="O15" s="207">
        <v>0</v>
      </c>
      <c r="P15" s="207">
        <v>0</v>
      </c>
      <c r="Q15" s="40">
        <f>M15+H15+C15+'ACP_PS_11(i)'!M15+'ACP_PS_11(i)'!H15+'ACP_PS_11(i)'!C15+ACP_MSME_10!C15+'ACP_Agri_9(ii)'!M15</f>
        <v>1492958</v>
      </c>
      <c r="R15" s="40">
        <f>N15+I15+D15+'ACP_PS_11(i)'!N15+'ACP_PS_11(i)'!I15+'ACP_PS_11(i)'!D15+ACP_MSME_10!D15+'ACP_Agri_9(ii)'!N15</f>
        <v>4371515</v>
      </c>
      <c r="S15" s="40">
        <f>O15+J15+E15+'ACP_PS_11(i)'!O15+'ACP_PS_11(i)'!J15+'ACP_PS_11(i)'!E15+ACP_MSME_10!O15+'ACP_Agri_9(ii)'!O15</f>
        <v>184475</v>
      </c>
      <c r="T15" s="40">
        <f>P15+K15+F15+'ACP_PS_11(i)'!P15+'ACP_PS_11(i)'!K15+'ACP_PS_11(i)'!F15+ACP_MSME_10!P15+'ACP_Agri_9(ii)'!P15</f>
        <v>751122</v>
      </c>
      <c r="U15" s="312">
        <f t="shared" si="2"/>
        <v>17.182189698537005</v>
      </c>
    </row>
    <row r="16" spans="1:21" ht="13" customHeight="1" x14ac:dyDescent="0.2">
      <c r="A16" s="105">
        <v>11</v>
      </c>
      <c r="B16" s="40" t="s">
        <v>179</v>
      </c>
      <c r="C16" s="206">
        <v>333</v>
      </c>
      <c r="D16" s="206">
        <v>1536</v>
      </c>
      <c r="E16" s="206">
        <v>0</v>
      </c>
      <c r="F16" s="206">
        <v>0</v>
      </c>
      <c r="G16" s="312">
        <f t="shared" si="0"/>
        <v>0</v>
      </c>
      <c r="H16" s="206">
        <v>496</v>
      </c>
      <c r="I16" s="206">
        <v>1272</v>
      </c>
      <c r="J16" s="206">
        <v>0</v>
      </c>
      <c r="K16" s="206">
        <v>0</v>
      </c>
      <c r="L16" s="312">
        <f t="shared" si="1"/>
        <v>0</v>
      </c>
      <c r="M16" s="40">
        <v>76</v>
      </c>
      <c r="N16" s="40">
        <v>1089</v>
      </c>
      <c r="O16" s="206">
        <v>577</v>
      </c>
      <c r="P16" s="206">
        <v>1620</v>
      </c>
      <c r="Q16" s="40">
        <f>M16+H16+C16+'ACP_PS_11(i)'!M16+'ACP_PS_11(i)'!H16+'ACP_PS_11(i)'!C16+ACP_MSME_10!C16+'ACP_Agri_9(ii)'!M16</f>
        <v>129664</v>
      </c>
      <c r="R16" s="40">
        <f>N16+I16+D16+'ACP_PS_11(i)'!N16+'ACP_PS_11(i)'!I16+'ACP_PS_11(i)'!D16+ACP_MSME_10!D16+'ACP_Agri_9(ii)'!N16</f>
        <v>441334</v>
      </c>
      <c r="S16" s="40">
        <f>O16+J16+E16+'ACP_PS_11(i)'!O16+'ACP_PS_11(i)'!J16+'ACP_PS_11(i)'!E16+ACP_MSME_10!O16+'ACP_Agri_9(ii)'!O16</f>
        <v>2672</v>
      </c>
      <c r="T16" s="40">
        <f>P16+K16+F16+'ACP_PS_11(i)'!P16+'ACP_PS_11(i)'!K16+'ACP_PS_11(i)'!F16+ACP_MSME_10!P16+'ACP_Agri_9(ii)'!P16</f>
        <v>157607</v>
      </c>
      <c r="U16" s="312">
        <f t="shared" si="2"/>
        <v>35.711501946371683</v>
      </c>
    </row>
    <row r="17" spans="1:23" ht="13" customHeight="1" x14ac:dyDescent="0.2">
      <c r="A17" s="105">
        <v>12</v>
      </c>
      <c r="B17" s="40" t="s">
        <v>60</v>
      </c>
      <c r="C17" s="206">
        <v>1224</v>
      </c>
      <c r="D17" s="206">
        <v>4527</v>
      </c>
      <c r="E17" s="206">
        <v>2</v>
      </c>
      <c r="F17" s="206">
        <v>31</v>
      </c>
      <c r="G17" s="312">
        <f t="shared" si="0"/>
        <v>0.68478020764303071</v>
      </c>
      <c r="H17" s="206">
        <v>1217</v>
      </c>
      <c r="I17" s="206">
        <v>4799</v>
      </c>
      <c r="J17" s="206">
        <v>0</v>
      </c>
      <c r="K17" s="206">
        <v>0</v>
      </c>
      <c r="L17" s="312">
        <f t="shared" si="1"/>
        <v>0</v>
      </c>
      <c r="M17" s="40">
        <v>498</v>
      </c>
      <c r="N17" s="40">
        <v>2380</v>
      </c>
      <c r="O17" s="206">
        <v>789</v>
      </c>
      <c r="P17" s="206">
        <v>16</v>
      </c>
      <c r="Q17" s="40">
        <f>M17+H17+C17+'ACP_PS_11(i)'!M17+'ACP_PS_11(i)'!H17+'ACP_PS_11(i)'!C17+ACP_MSME_10!C17+'ACP_Agri_9(ii)'!M17</f>
        <v>300168</v>
      </c>
      <c r="R17" s="40">
        <f>N17+I17+D17+'ACP_PS_11(i)'!N17+'ACP_PS_11(i)'!I17+'ACP_PS_11(i)'!D17+ACP_MSME_10!D17+'ACP_Agri_9(ii)'!N17</f>
        <v>876322</v>
      </c>
      <c r="S17" s="40">
        <f>O17+J17+E17+'ACP_PS_11(i)'!O17+'ACP_PS_11(i)'!J17+'ACP_PS_11(i)'!E17+ACP_MSME_10!O17+'ACP_Agri_9(ii)'!O17</f>
        <v>48789</v>
      </c>
      <c r="T17" s="40">
        <f>P17+K17+F17+'ACP_PS_11(i)'!P17+'ACP_PS_11(i)'!K17+'ACP_PS_11(i)'!F17+ACP_MSME_10!P17+'ACP_Agri_9(ii)'!P17</f>
        <v>284838</v>
      </c>
      <c r="U17" s="312">
        <f t="shared" si="2"/>
        <v>32.50380567873453</v>
      </c>
    </row>
    <row r="18" spans="1:23" s="43" customFormat="1" ht="13" customHeight="1" x14ac:dyDescent="0.2">
      <c r="A18" s="293"/>
      <c r="B18" s="42" t="s">
        <v>215</v>
      </c>
      <c r="C18" s="208">
        <f>SUM(C6:C17)</f>
        <v>13534</v>
      </c>
      <c r="D18" s="208">
        <f t="shared" ref="D18:P18" si="3">SUM(D6:D17)</f>
        <v>51224</v>
      </c>
      <c r="E18" s="208">
        <f t="shared" si="3"/>
        <v>76</v>
      </c>
      <c r="F18" s="208">
        <f t="shared" si="3"/>
        <v>2426.44</v>
      </c>
      <c r="G18" s="313">
        <f t="shared" si="0"/>
        <v>4.7369201936592225</v>
      </c>
      <c r="H18" s="208">
        <f t="shared" si="3"/>
        <v>12908</v>
      </c>
      <c r="I18" s="208">
        <f t="shared" si="3"/>
        <v>39784</v>
      </c>
      <c r="J18" s="208">
        <f t="shared" si="3"/>
        <v>35</v>
      </c>
      <c r="K18" s="208">
        <f t="shared" si="3"/>
        <v>1641.69</v>
      </c>
      <c r="L18" s="313">
        <f t="shared" si="1"/>
        <v>4.1265081439774782</v>
      </c>
      <c r="M18" s="208">
        <f t="shared" si="3"/>
        <v>1756</v>
      </c>
      <c r="N18" s="208">
        <f t="shared" si="3"/>
        <v>15652</v>
      </c>
      <c r="O18" s="208">
        <f t="shared" si="3"/>
        <v>21973</v>
      </c>
      <c r="P18" s="208">
        <f t="shared" si="3"/>
        <v>35938.5</v>
      </c>
      <c r="Q18" s="42">
        <f>M18+H18+C18+'ACP_PS_11(i)'!M18+'ACP_PS_11(i)'!H18+'ACP_PS_11(i)'!C18+ACP_MSME_10!C18+'ACP_Agri_9(ii)'!M18</f>
        <v>3988691</v>
      </c>
      <c r="R18" s="42">
        <f>N18+I18+D18+'ACP_PS_11(i)'!N18+'ACP_PS_11(i)'!I18+'ACP_PS_11(i)'!D18+ACP_MSME_10!D18+'ACP_Agri_9(ii)'!N18</f>
        <v>11868631</v>
      </c>
      <c r="S18" s="42">
        <f>O18+J18+E18+'ACP_PS_11(i)'!O18+'ACP_PS_11(i)'!J18+'ACP_PS_11(i)'!E18+ACP_MSME_10!O18+'ACP_Agri_9(ii)'!O18</f>
        <v>655046</v>
      </c>
      <c r="T18" s="42">
        <f>P18+K18+F18+'ACP_PS_11(i)'!P18+'ACP_PS_11(i)'!K18+'ACP_PS_11(i)'!F18+ACP_MSME_10!P18+'ACP_Agri_9(ii)'!P18</f>
        <v>2112396.21789</v>
      </c>
      <c r="U18" s="313">
        <f t="shared" si="2"/>
        <v>17.798145530769304</v>
      </c>
      <c r="V18" s="305"/>
      <c r="W18" s="305"/>
    </row>
    <row r="19" spans="1:23" ht="13" customHeight="1" x14ac:dyDescent="0.2">
      <c r="A19" s="105">
        <v>13</v>
      </c>
      <c r="B19" s="40" t="s">
        <v>41</v>
      </c>
      <c r="C19" s="206">
        <v>476</v>
      </c>
      <c r="D19" s="206">
        <v>1632</v>
      </c>
      <c r="E19" s="206">
        <v>0</v>
      </c>
      <c r="F19" s="206">
        <v>0</v>
      </c>
      <c r="G19" s="312">
        <f t="shared" si="0"/>
        <v>0</v>
      </c>
      <c r="H19" s="206">
        <v>535</v>
      </c>
      <c r="I19" s="206">
        <v>2470</v>
      </c>
      <c r="J19" s="206">
        <v>0</v>
      </c>
      <c r="K19" s="206">
        <v>0</v>
      </c>
      <c r="L19" s="312">
        <f t="shared" si="1"/>
        <v>0</v>
      </c>
      <c r="M19" s="40">
        <v>21</v>
      </c>
      <c r="N19" s="40">
        <v>115</v>
      </c>
      <c r="O19" s="206">
        <v>1506</v>
      </c>
      <c r="P19" s="206">
        <v>517.41999999999996</v>
      </c>
      <c r="Q19" s="40">
        <f>M19+H19+C19+'ACP_PS_11(i)'!M19+'ACP_PS_11(i)'!H19+'ACP_PS_11(i)'!C19+ACP_MSME_10!C19+'ACP_Agri_9(ii)'!M19</f>
        <v>94296</v>
      </c>
      <c r="R19" s="40">
        <f>N19+I19+D19+'ACP_PS_11(i)'!N19+'ACP_PS_11(i)'!I19+'ACP_PS_11(i)'!D19+ACP_MSME_10!D19+'ACP_Agri_9(ii)'!N19</f>
        <v>332486</v>
      </c>
      <c r="S19" s="40">
        <f>O19+J19+E19+'ACP_PS_11(i)'!O19+'ACP_PS_11(i)'!J19+'ACP_PS_11(i)'!E19+ACP_MSME_10!O19+'ACP_Agri_9(ii)'!O19</f>
        <v>9004</v>
      </c>
      <c r="T19" s="40">
        <f>P19+K19+F19+'ACP_PS_11(i)'!P19+'ACP_PS_11(i)'!K19+'ACP_PS_11(i)'!F19+ACP_MSME_10!P19+'ACP_Agri_9(ii)'!P19</f>
        <v>39783.820000000007</v>
      </c>
      <c r="U19" s="312">
        <f t="shared" si="2"/>
        <v>11.965562459772745</v>
      </c>
    </row>
    <row r="20" spans="1:23" ht="12.75" customHeight="1" x14ac:dyDescent="0.2">
      <c r="A20" s="105">
        <v>14</v>
      </c>
      <c r="B20" s="40" t="s">
        <v>180</v>
      </c>
      <c r="C20" s="206">
        <v>319</v>
      </c>
      <c r="D20" s="206">
        <v>1219</v>
      </c>
      <c r="E20" s="206">
        <v>0</v>
      </c>
      <c r="F20" s="206">
        <v>0</v>
      </c>
      <c r="G20" s="312">
        <f t="shared" si="0"/>
        <v>0</v>
      </c>
      <c r="H20" s="206">
        <v>185</v>
      </c>
      <c r="I20" s="206">
        <v>744</v>
      </c>
      <c r="J20" s="206">
        <v>0</v>
      </c>
      <c r="K20" s="206">
        <v>0</v>
      </c>
      <c r="L20" s="312">
        <f t="shared" si="1"/>
        <v>0</v>
      </c>
      <c r="M20" s="40">
        <v>0</v>
      </c>
      <c r="N20" s="40">
        <v>0</v>
      </c>
      <c r="O20" s="206">
        <v>0</v>
      </c>
      <c r="P20" s="206">
        <v>0</v>
      </c>
      <c r="Q20" s="40">
        <f>M20+H20+C20+'ACP_PS_11(i)'!M20+'ACP_PS_11(i)'!H20+'ACP_PS_11(i)'!C20+ACP_MSME_10!C20+'ACP_Agri_9(ii)'!M20</f>
        <v>34405</v>
      </c>
      <c r="R20" s="40">
        <f>N20+I20+D20+'ACP_PS_11(i)'!N20+'ACP_PS_11(i)'!I20+'ACP_PS_11(i)'!D20+ACP_MSME_10!D20+'ACP_Agri_9(ii)'!N20</f>
        <v>104765</v>
      </c>
      <c r="S20" s="40">
        <f>O20+J20+E20+'ACP_PS_11(i)'!O20+'ACP_PS_11(i)'!J20+'ACP_PS_11(i)'!E20+ACP_MSME_10!O20+'ACP_Agri_9(ii)'!O20</f>
        <v>49985</v>
      </c>
      <c r="T20" s="40">
        <f>P20+K20+F20+'ACP_PS_11(i)'!P20+'ACP_PS_11(i)'!K20+'ACP_PS_11(i)'!F20+ACP_MSME_10!P20+'ACP_Agri_9(ii)'!P20</f>
        <v>39638.39</v>
      </c>
      <c r="U20" s="312">
        <f t="shared" si="2"/>
        <v>37.835527132152912</v>
      </c>
    </row>
    <row r="21" spans="1:23" ht="13" customHeight="1" x14ac:dyDescent="0.2">
      <c r="A21" s="105">
        <v>15</v>
      </c>
      <c r="B21" s="40" t="s">
        <v>181</v>
      </c>
      <c r="C21" s="206">
        <v>0</v>
      </c>
      <c r="D21" s="206">
        <v>0</v>
      </c>
      <c r="E21" s="206">
        <v>0</v>
      </c>
      <c r="F21" s="206">
        <v>0</v>
      </c>
      <c r="G21" s="312">
        <v>0</v>
      </c>
      <c r="H21" s="206">
        <v>16</v>
      </c>
      <c r="I21" s="206">
        <v>44</v>
      </c>
      <c r="J21" s="206">
        <v>0</v>
      </c>
      <c r="K21" s="206">
        <v>0</v>
      </c>
      <c r="L21" s="312">
        <f t="shared" si="1"/>
        <v>0</v>
      </c>
      <c r="M21" s="40">
        <v>0</v>
      </c>
      <c r="N21" s="40">
        <v>0</v>
      </c>
      <c r="O21" s="206">
        <v>0</v>
      </c>
      <c r="P21" s="206">
        <v>0</v>
      </c>
      <c r="Q21" s="40">
        <f>M21+H21+C21+'ACP_PS_11(i)'!M21+'ACP_PS_11(i)'!H21+'ACP_PS_11(i)'!C21+ACP_MSME_10!C21+'ACP_Agri_9(ii)'!M21</f>
        <v>329</v>
      </c>
      <c r="R21" s="40">
        <f>N21+I21+D21+'ACP_PS_11(i)'!N21+'ACP_PS_11(i)'!I21+'ACP_PS_11(i)'!D21+ACP_MSME_10!D21+'ACP_Agri_9(ii)'!N21</f>
        <v>2034</v>
      </c>
      <c r="S21" s="40">
        <f>O21+J21+E21+'ACP_PS_11(i)'!O21+'ACP_PS_11(i)'!J21+'ACP_PS_11(i)'!E21+ACP_MSME_10!O21+'ACP_Agri_9(ii)'!O21</f>
        <v>27</v>
      </c>
      <c r="T21" s="40">
        <f>P21+K21+F21+'ACP_PS_11(i)'!P21+'ACP_PS_11(i)'!K21+'ACP_PS_11(i)'!F21+ACP_MSME_10!P21+'ACP_Agri_9(ii)'!P21</f>
        <v>88</v>
      </c>
      <c r="U21" s="312">
        <f t="shared" si="2"/>
        <v>4.3264503441494595</v>
      </c>
    </row>
    <row r="22" spans="1:23" ht="13" customHeight="1" x14ac:dyDescent="0.2">
      <c r="A22" s="105">
        <v>16</v>
      </c>
      <c r="B22" s="40" t="s">
        <v>45</v>
      </c>
      <c r="C22" s="206">
        <v>0</v>
      </c>
      <c r="D22" s="206">
        <v>0</v>
      </c>
      <c r="E22" s="206">
        <v>0</v>
      </c>
      <c r="F22" s="206">
        <v>0</v>
      </c>
      <c r="G22" s="312">
        <v>0</v>
      </c>
      <c r="H22" s="206">
        <v>58</v>
      </c>
      <c r="I22" s="206">
        <v>428</v>
      </c>
      <c r="J22" s="206">
        <v>0</v>
      </c>
      <c r="K22" s="206">
        <v>0</v>
      </c>
      <c r="L22" s="312">
        <f t="shared" si="1"/>
        <v>0</v>
      </c>
      <c r="M22" s="40">
        <v>0</v>
      </c>
      <c r="N22" s="40">
        <v>0</v>
      </c>
      <c r="O22" s="206">
        <v>0</v>
      </c>
      <c r="P22" s="206">
        <v>0</v>
      </c>
      <c r="Q22" s="40">
        <f>M22+H22+C22+'ACP_PS_11(i)'!M22+'ACP_PS_11(i)'!H22+'ACP_PS_11(i)'!C22+ACP_MSME_10!C22+'ACP_Agri_9(ii)'!M22</f>
        <v>1436</v>
      </c>
      <c r="R22" s="40">
        <f>N22+I22+D22+'ACP_PS_11(i)'!N22+'ACP_PS_11(i)'!I22+'ACP_PS_11(i)'!D22+ACP_MSME_10!D22+'ACP_Agri_9(ii)'!N22</f>
        <v>7372</v>
      </c>
      <c r="S22" s="40">
        <f>O22+J22+E22+'ACP_PS_11(i)'!O22+'ACP_PS_11(i)'!J22+'ACP_PS_11(i)'!E22+ACP_MSME_10!O22+'ACP_Agri_9(ii)'!O22</f>
        <v>12</v>
      </c>
      <c r="T22" s="40">
        <f>P22+K22+F22+'ACP_PS_11(i)'!P22+'ACP_PS_11(i)'!K22+'ACP_PS_11(i)'!F22+ACP_MSME_10!P22+'ACP_Agri_9(ii)'!P22</f>
        <v>595.03000000000009</v>
      </c>
      <c r="U22" s="312">
        <f t="shared" si="2"/>
        <v>8.0714867064568647</v>
      </c>
    </row>
    <row r="23" spans="1:23" ht="13" customHeight="1" x14ac:dyDescent="0.2">
      <c r="A23" s="105">
        <v>17</v>
      </c>
      <c r="B23" s="40" t="s">
        <v>182</v>
      </c>
      <c r="C23" s="206">
        <v>196</v>
      </c>
      <c r="D23" s="206">
        <v>606</v>
      </c>
      <c r="E23" s="213">
        <v>2</v>
      </c>
      <c r="F23" s="213">
        <v>25</v>
      </c>
      <c r="G23" s="312">
        <f t="shared" si="0"/>
        <v>4.1254125412541258</v>
      </c>
      <c r="H23" s="206">
        <v>155</v>
      </c>
      <c r="I23" s="206">
        <v>748</v>
      </c>
      <c r="J23" s="206">
        <v>0</v>
      </c>
      <c r="K23" s="206">
        <v>0</v>
      </c>
      <c r="L23" s="312">
        <f t="shared" si="1"/>
        <v>0</v>
      </c>
      <c r="M23" s="40">
        <v>0</v>
      </c>
      <c r="N23" s="40">
        <v>0</v>
      </c>
      <c r="O23" s="206">
        <v>0</v>
      </c>
      <c r="P23" s="206">
        <v>0</v>
      </c>
      <c r="Q23" s="40">
        <f>M23+H23+C23+'ACP_PS_11(i)'!M23+'ACP_PS_11(i)'!H23+'ACP_PS_11(i)'!C23+ACP_MSME_10!C23+'ACP_Agri_9(ii)'!M23</f>
        <v>13895</v>
      </c>
      <c r="R23" s="40">
        <f>N23+I23+D23+'ACP_PS_11(i)'!N23+'ACP_PS_11(i)'!I23+'ACP_PS_11(i)'!D23+ACP_MSME_10!D23+'ACP_Agri_9(ii)'!N23</f>
        <v>46156</v>
      </c>
      <c r="S23" s="40">
        <f>O23+J23+E23+'ACP_PS_11(i)'!O23+'ACP_PS_11(i)'!J23+'ACP_PS_11(i)'!E23+ACP_MSME_10!O23+'ACP_Agri_9(ii)'!O23</f>
        <v>6136</v>
      </c>
      <c r="T23" s="40">
        <f>P23+K23+F23+'ACP_PS_11(i)'!P23+'ACP_PS_11(i)'!K23+'ACP_PS_11(i)'!F23+ACP_MSME_10!P23+'ACP_Agri_9(ii)'!P23</f>
        <v>12425</v>
      </c>
      <c r="U23" s="312">
        <f t="shared" si="2"/>
        <v>26.919577086402633</v>
      </c>
    </row>
    <row r="24" spans="1:23" ht="13" customHeight="1" x14ac:dyDescent="0.2">
      <c r="A24" s="105">
        <v>18</v>
      </c>
      <c r="B24" s="40" t="s">
        <v>183</v>
      </c>
      <c r="C24" s="206">
        <v>0</v>
      </c>
      <c r="D24" s="206">
        <v>0</v>
      </c>
      <c r="E24" s="206">
        <v>0</v>
      </c>
      <c r="F24" s="206">
        <v>0</v>
      </c>
      <c r="G24" s="312">
        <v>0</v>
      </c>
      <c r="H24" s="206">
        <v>0</v>
      </c>
      <c r="I24" s="206">
        <v>0</v>
      </c>
      <c r="J24" s="206">
        <v>0</v>
      </c>
      <c r="K24" s="206">
        <v>0</v>
      </c>
      <c r="L24" s="312">
        <v>0</v>
      </c>
      <c r="M24" s="40">
        <v>0</v>
      </c>
      <c r="N24" s="40">
        <v>0</v>
      </c>
      <c r="O24" s="206">
        <v>0</v>
      </c>
      <c r="P24" s="206">
        <v>0</v>
      </c>
      <c r="Q24" s="40">
        <f>M24+H24+C24+'ACP_PS_11(i)'!M24+'ACP_PS_11(i)'!H24+'ACP_PS_11(i)'!C24+ACP_MSME_10!C24+'ACP_Agri_9(ii)'!M24</f>
        <v>394</v>
      </c>
      <c r="R24" s="40">
        <f>N24+I24+D24+'ACP_PS_11(i)'!N24+'ACP_PS_11(i)'!I24+'ACP_PS_11(i)'!D24+ACP_MSME_10!D24+'ACP_Agri_9(ii)'!N24</f>
        <v>2720</v>
      </c>
      <c r="S24" s="40">
        <f>O24+J24+E24+'ACP_PS_11(i)'!O24+'ACP_PS_11(i)'!J24+'ACP_PS_11(i)'!E24+ACP_MSME_10!O24+'ACP_Agri_9(ii)'!O24</f>
        <v>12</v>
      </c>
      <c r="T24" s="40">
        <f>P24+K24+F24+'ACP_PS_11(i)'!P24+'ACP_PS_11(i)'!K24+'ACP_PS_11(i)'!F24+ACP_MSME_10!P24+'ACP_Agri_9(ii)'!P24</f>
        <v>116.38</v>
      </c>
      <c r="U24" s="312">
        <f t="shared" si="2"/>
        <v>4.278676470588235</v>
      </c>
    </row>
    <row r="25" spans="1:23" ht="13" customHeight="1" x14ac:dyDescent="0.2">
      <c r="A25" s="105">
        <v>19</v>
      </c>
      <c r="B25" s="40" t="s">
        <v>184</v>
      </c>
      <c r="C25" s="206">
        <v>68</v>
      </c>
      <c r="D25" s="206">
        <v>205</v>
      </c>
      <c r="E25" s="206">
        <v>0</v>
      </c>
      <c r="F25" s="206">
        <v>0</v>
      </c>
      <c r="G25" s="312">
        <f t="shared" si="0"/>
        <v>0</v>
      </c>
      <c r="H25" s="206">
        <v>78</v>
      </c>
      <c r="I25" s="206">
        <v>496</v>
      </c>
      <c r="J25" s="206">
        <v>0</v>
      </c>
      <c r="K25" s="206">
        <v>0</v>
      </c>
      <c r="L25" s="312">
        <f t="shared" si="1"/>
        <v>0</v>
      </c>
      <c r="M25" s="40">
        <v>0</v>
      </c>
      <c r="N25" s="40">
        <v>0</v>
      </c>
      <c r="O25" s="206">
        <v>28</v>
      </c>
      <c r="P25" s="206">
        <v>10</v>
      </c>
      <c r="Q25" s="40">
        <f>M25+H25+C25+'ACP_PS_11(i)'!M25+'ACP_PS_11(i)'!H25+'ACP_PS_11(i)'!C25+ACP_MSME_10!C25+'ACP_Agri_9(ii)'!M25</f>
        <v>4239</v>
      </c>
      <c r="R25" s="40">
        <f>N25+I25+D25+'ACP_PS_11(i)'!N25+'ACP_PS_11(i)'!I25+'ACP_PS_11(i)'!D25+ACP_MSME_10!D25+'ACP_Agri_9(ii)'!N25</f>
        <v>14950</v>
      </c>
      <c r="S25" s="40">
        <f>O25+J25+E25+'ACP_PS_11(i)'!O25+'ACP_PS_11(i)'!J25+'ACP_PS_11(i)'!E25+ACP_MSME_10!O25+'ACP_Agri_9(ii)'!O25</f>
        <v>8685</v>
      </c>
      <c r="T25" s="40">
        <f>P25+K25+F25+'ACP_PS_11(i)'!P25+'ACP_PS_11(i)'!K25+'ACP_PS_11(i)'!F25+ACP_MSME_10!P25+'ACP_Agri_9(ii)'!P25</f>
        <v>18643</v>
      </c>
      <c r="U25" s="312">
        <f t="shared" si="2"/>
        <v>124.70234113712375</v>
      </c>
    </row>
    <row r="26" spans="1:23" ht="13" customHeight="1" x14ac:dyDescent="0.2">
      <c r="A26" s="105">
        <v>20</v>
      </c>
      <c r="B26" s="40" t="s">
        <v>65</v>
      </c>
      <c r="C26" s="206">
        <v>1171</v>
      </c>
      <c r="D26" s="206">
        <v>3621</v>
      </c>
      <c r="E26" s="206">
        <v>1</v>
      </c>
      <c r="F26" s="206">
        <v>4.88</v>
      </c>
      <c r="G26" s="312">
        <f t="shared" si="0"/>
        <v>0.1347694007180337</v>
      </c>
      <c r="H26" s="206">
        <v>751</v>
      </c>
      <c r="I26" s="206">
        <v>2918</v>
      </c>
      <c r="J26" s="206">
        <v>0</v>
      </c>
      <c r="K26" s="206">
        <v>0</v>
      </c>
      <c r="L26" s="312">
        <f t="shared" si="1"/>
        <v>0</v>
      </c>
      <c r="M26" s="40">
        <v>91</v>
      </c>
      <c r="N26" s="40">
        <v>118</v>
      </c>
      <c r="O26" s="206">
        <v>158</v>
      </c>
      <c r="P26" s="206">
        <v>63.14</v>
      </c>
      <c r="Q26" s="40">
        <f>M26+H26+C26+'ACP_PS_11(i)'!M26+'ACP_PS_11(i)'!H26+'ACP_PS_11(i)'!C26+ACP_MSME_10!C26+'ACP_Agri_9(ii)'!M26</f>
        <v>172161</v>
      </c>
      <c r="R26" s="40">
        <f>N26+I26+D26+'ACP_PS_11(i)'!N26+'ACP_PS_11(i)'!I26+'ACP_PS_11(i)'!D26+ACP_MSME_10!D26+'ACP_Agri_9(ii)'!N26</f>
        <v>546144</v>
      </c>
      <c r="S26" s="40">
        <f>O26+J26+E26+'ACP_PS_11(i)'!O26+'ACP_PS_11(i)'!J26+'ACP_PS_11(i)'!E26+ACP_MSME_10!O26+'ACP_Agri_9(ii)'!O26</f>
        <v>19355</v>
      </c>
      <c r="T26" s="40">
        <f>P26+K26+F26+'ACP_PS_11(i)'!P26+'ACP_PS_11(i)'!K26+'ACP_PS_11(i)'!F26+ACP_MSME_10!P26+'ACP_Agri_9(ii)'!P26</f>
        <v>137534.49</v>
      </c>
      <c r="U26" s="312">
        <f t="shared" si="2"/>
        <v>25.182825408683424</v>
      </c>
    </row>
    <row r="27" spans="1:23" ht="13.5" customHeight="1" x14ac:dyDescent="0.2">
      <c r="A27" s="105">
        <v>21</v>
      </c>
      <c r="B27" s="40" t="s">
        <v>66</v>
      </c>
      <c r="C27" s="40">
        <v>716</v>
      </c>
      <c r="D27" s="40">
        <v>2657</v>
      </c>
      <c r="E27" s="40">
        <v>0</v>
      </c>
      <c r="F27" s="40">
        <v>0</v>
      </c>
      <c r="G27" s="312">
        <f t="shared" si="0"/>
        <v>0</v>
      </c>
      <c r="H27" s="40">
        <v>777</v>
      </c>
      <c r="I27" s="40">
        <v>2859</v>
      </c>
      <c r="J27" s="40">
        <v>0</v>
      </c>
      <c r="K27" s="40">
        <v>0</v>
      </c>
      <c r="L27" s="312">
        <f t="shared" si="1"/>
        <v>0</v>
      </c>
      <c r="M27" s="40">
        <v>126</v>
      </c>
      <c r="N27" s="40">
        <v>196</v>
      </c>
      <c r="O27" s="40">
        <v>261</v>
      </c>
      <c r="P27" s="40">
        <v>1684</v>
      </c>
      <c r="Q27" s="40">
        <f>M27+H27+C27+'ACP_PS_11(i)'!M27+'ACP_PS_11(i)'!H27+'ACP_PS_11(i)'!C27+ACP_MSME_10!C27+'ACP_Agri_9(ii)'!M27</f>
        <v>164635</v>
      </c>
      <c r="R27" s="40">
        <f>N27+I27+D27+'ACP_PS_11(i)'!N27+'ACP_PS_11(i)'!I27+'ACP_PS_11(i)'!D27+ACP_MSME_10!D27+'ACP_Agri_9(ii)'!N27</f>
        <v>535439</v>
      </c>
      <c r="S27" s="40">
        <f>O27+J27+E27+'ACP_PS_11(i)'!O27+'ACP_PS_11(i)'!J27+'ACP_PS_11(i)'!E27+ACP_MSME_10!O27+'ACP_Agri_9(ii)'!O27</f>
        <v>55347</v>
      </c>
      <c r="T27" s="40">
        <f>P27+K27+F27+'ACP_PS_11(i)'!P27+'ACP_PS_11(i)'!K27+'ACP_PS_11(i)'!F27+ACP_MSME_10!P27+'ACP_Agri_9(ii)'!P27</f>
        <v>383449</v>
      </c>
      <c r="U27" s="312">
        <f t="shared" si="2"/>
        <v>71.613946686737421</v>
      </c>
    </row>
    <row r="28" spans="1:23" ht="13" customHeight="1" x14ac:dyDescent="0.2">
      <c r="A28" s="105">
        <v>22</v>
      </c>
      <c r="B28" s="40" t="s">
        <v>75</v>
      </c>
      <c r="C28" s="207">
        <v>505</v>
      </c>
      <c r="D28" s="207">
        <v>1426</v>
      </c>
      <c r="E28" s="207">
        <v>6</v>
      </c>
      <c r="F28" s="207">
        <v>4</v>
      </c>
      <c r="G28" s="312">
        <f t="shared" si="0"/>
        <v>0.28050490883590462</v>
      </c>
      <c r="H28" s="207">
        <v>424</v>
      </c>
      <c r="I28" s="207">
        <v>1064</v>
      </c>
      <c r="J28" s="207">
        <v>0</v>
      </c>
      <c r="K28" s="207">
        <v>0</v>
      </c>
      <c r="L28" s="312">
        <f t="shared" si="1"/>
        <v>0</v>
      </c>
      <c r="M28" s="40">
        <v>16</v>
      </c>
      <c r="N28" s="40">
        <v>90</v>
      </c>
      <c r="O28" s="207">
        <v>0</v>
      </c>
      <c r="P28" s="207">
        <v>0</v>
      </c>
      <c r="Q28" s="40">
        <f>M28+H28+C28+'ACP_PS_11(i)'!M28+'ACP_PS_11(i)'!H28+'ACP_PS_11(i)'!C28+ACP_MSME_10!C28+'ACP_Agri_9(ii)'!M28</f>
        <v>51618</v>
      </c>
      <c r="R28" s="40">
        <f>N28+I28+D28+'ACP_PS_11(i)'!N28+'ACP_PS_11(i)'!I28+'ACP_PS_11(i)'!D28+ACP_MSME_10!D28+'ACP_Agri_9(ii)'!N28</f>
        <v>171366</v>
      </c>
      <c r="S28" s="40">
        <f>O28+J28+E28+'ACP_PS_11(i)'!O28+'ACP_PS_11(i)'!J28+'ACP_PS_11(i)'!E28+ACP_MSME_10!O28+'ACP_Agri_9(ii)'!O28</f>
        <v>30192</v>
      </c>
      <c r="T28" s="40">
        <f>P28+K28+F28+'ACP_PS_11(i)'!P28+'ACP_PS_11(i)'!K28+'ACP_PS_11(i)'!F28+ACP_MSME_10!P28+'ACP_Agri_9(ii)'!P28</f>
        <v>102500.57</v>
      </c>
      <c r="U28" s="312">
        <f t="shared" si="2"/>
        <v>59.813831215060162</v>
      </c>
    </row>
    <row r="29" spans="1:23" ht="13" customHeight="1" x14ac:dyDescent="0.2">
      <c r="A29" s="105">
        <v>23</v>
      </c>
      <c r="B29" s="40" t="s">
        <v>379</v>
      </c>
      <c r="C29" s="206">
        <v>98</v>
      </c>
      <c r="D29" s="206">
        <v>364</v>
      </c>
      <c r="E29" s="206">
        <v>75</v>
      </c>
      <c r="F29" s="206">
        <v>26</v>
      </c>
      <c r="G29" s="312">
        <f t="shared" si="0"/>
        <v>7.1428571428571432</v>
      </c>
      <c r="H29" s="206">
        <v>97</v>
      </c>
      <c r="I29" s="206">
        <v>636</v>
      </c>
      <c r="J29" s="206">
        <v>0</v>
      </c>
      <c r="K29" s="206">
        <v>0</v>
      </c>
      <c r="L29" s="312">
        <f t="shared" si="1"/>
        <v>0</v>
      </c>
      <c r="M29" s="40">
        <v>0</v>
      </c>
      <c r="N29" s="40">
        <v>0</v>
      </c>
      <c r="O29" s="206">
        <v>0</v>
      </c>
      <c r="P29" s="206">
        <v>0</v>
      </c>
      <c r="Q29" s="40">
        <f>M29+H29+C29+'ACP_PS_11(i)'!M29+'ACP_PS_11(i)'!H29+'ACP_PS_11(i)'!C29+ACP_MSME_10!C29+'ACP_Agri_9(ii)'!M29</f>
        <v>13386</v>
      </c>
      <c r="R29" s="40">
        <f>N29+I29+D29+'ACP_PS_11(i)'!N29+'ACP_PS_11(i)'!I29+'ACP_PS_11(i)'!D29+ACP_MSME_10!D29+'ACP_Agri_9(ii)'!N29</f>
        <v>47059</v>
      </c>
      <c r="S29" s="40">
        <f>O29+J29+E29+'ACP_PS_11(i)'!O29+'ACP_PS_11(i)'!J29+'ACP_PS_11(i)'!E29+ACP_MSME_10!O29+'ACP_Agri_9(ii)'!O29</f>
        <v>7106</v>
      </c>
      <c r="T29" s="40">
        <f>P29+K29+F29+'ACP_PS_11(i)'!P29+'ACP_PS_11(i)'!K29+'ACP_PS_11(i)'!F29+ACP_MSME_10!P29+'ACP_Agri_9(ii)'!P29</f>
        <v>35478</v>
      </c>
      <c r="U29" s="312">
        <f t="shared" si="2"/>
        <v>75.390467285747675</v>
      </c>
    </row>
    <row r="30" spans="1:23" ht="13" customHeight="1" x14ac:dyDescent="0.2">
      <c r="A30" s="105">
        <v>24</v>
      </c>
      <c r="B30" s="40" t="s">
        <v>185</v>
      </c>
      <c r="C30" s="206">
        <v>141</v>
      </c>
      <c r="D30" s="206">
        <v>440</v>
      </c>
      <c r="E30" s="206">
        <v>173</v>
      </c>
      <c r="F30" s="206">
        <v>46</v>
      </c>
      <c r="G30" s="312">
        <f t="shared" si="0"/>
        <v>10.454545454545455</v>
      </c>
      <c r="H30" s="206">
        <v>61</v>
      </c>
      <c r="I30" s="206">
        <v>305</v>
      </c>
      <c r="J30" s="206">
        <v>0</v>
      </c>
      <c r="K30" s="206">
        <v>0</v>
      </c>
      <c r="L30" s="312">
        <f t="shared" si="1"/>
        <v>0</v>
      </c>
      <c r="M30" s="40">
        <v>21</v>
      </c>
      <c r="N30" s="40">
        <v>43</v>
      </c>
      <c r="O30" s="206">
        <v>2</v>
      </c>
      <c r="P30" s="206">
        <v>1</v>
      </c>
      <c r="Q30" s="40">
        <f>M30+H30+C30+'ACP_PS_11(i)'!M30+'ACP_PS_11(i)'!H30+'ACP_PS_11(i)'!C30+ACP_MSME_10!C30+'ACP_Agri_9(ii)'!M30</f>
        <v>20049</v>
      </c>
      <c r="R30" s="40">
        <f>N30+I30+D30+'ACP_PS_11(i)'!N30+'ACP_PS_11(i)'!I30+'ACP_PS_11(i)'!D30+ACP_MSME_10!D30+'ACP_Agri_9(ii)'!N30</f>
        <v>79266</v>
      </c>
      <c r="S30" s="40">
        <f>O30+J30+E30+'ACP_PS_11(i)'!O30+'ACP_PS_11(i)'!J30+'ACP_PS_11(i)'!E30+ACP_MSME_10!O30+'ACP_Agri_9(ii)'!O30</f>
        <v>107006</v>
      </c>
      <c r="T30" s="40">
        <f>P30+K30+F30+'ACP_PS_11(i)'!P30+'ACP_PS_11(i)'!K30+'ACP_PS_11(i)'!F30+ACP_MSME_10!P30+'ACP_Agri_9(ii)'!P30</f>
        <v>142383</v>
      </c>
      <c r="U30" s="312">
        <f t="shared" si="2"/>
        <v>179.62682612974038</v>
      </c>
    </row>
    <row r="31" spans="1:23" ht="13" customHeight="1" x14ac:dyDescent="0.2">
      <c r="A31" s="105">
        <v>25</v>
      </c>
      <c r="B31" s="40" t="s">
        <v>186</v>
      </c>
      <c r="C31" s="206">
        <v>0</v>
      </c>
      <c r="D31" s="206">
        <v>0</v>
      </c>
      <c r="E31" s="206">
        <v>0</v>
      </c>
      <c r="F31" s="206">
        <v>0</v>
      </c>
      <c r="G31" s="312">
        <v>0</v>
      </c>
      <c r="H31" s="206">
        <v>57</v>
      </c>
      <c r="I31" s="206">
        <v>428</v>
      </c>
      <c r="J31" s="206">
        <v>0</v>
      </c>
      <c r="K31" s="206">
        <v>0</v>
      </c>
      <c r="L31" s="312">
        <f t="shared" si="1"/>
        <v>0</v>
      </c>
      <c r="M31" s="40">
        <v>0</v>
      </c>
      <c r="N31" s="40">
        <v>0</v>
      </c>
      <c r="O31" s="206">
        <v>0</v>
      </c>
      <c r="P31" s="206">
        <v>0</v>
      </c>
      <c r="Q31" s="40">
        <f>M31+H31+C31+'ACP_PS_11(i)'!M31+'ACP_PS_11(i)'!H31+'ACP_PS_11(i)'!C31+ACP_MSME_10!C31+'ACP_Agri_9(ii)'!M31</f>
        <v>1289</v>
      </c>
      <c r="R31" s="40">
        <f>N31+I31+D31+'ACP_PS_11(i)'!N31+'ACP_PS_11(i)'!I31+'ACP_PS_11(i)'!D31+ACP_MSME_10!D31+'ACP_Agri_9(ii)'!N31</f>
        <v>9030</v>
      </c>
      <c r="S31" s="40">
        <f>O31+J31+E31+'ACP_PS_11(i)'!O31+'ACP_PS_11(i)'!J31+'ACP_PS_11(i)'!E31+ACP_MSME_10!O31+'ACP_Agri_9(ii)'!O31</f>
        <v>447</v>
      </c>
      <c r="T31" s="40">
        <f>P31+K31+F31+'ACP_PS_11(i)'!P31+'ACP_PS_11(i)'!K31+'ACP_PS_11(i)'!F31+ACP_MSME_10!P31+'ACP_Agri_9(ii)'!P31</f>
        <v>2288</v>
      </c>
      <c r="U31" s="312">
        <f t="shared" si="2"/>
        <v>25.337763012181618</v>
      </c>
    </row>
    <row r="32" spans="1:23" ht="13" customHeight="1" x14ac:dyDescent="0.2">
      <c r="A32" s="105">
        <v>26</v>
      </c>
      <c r="B32" s="40" t="s">
        <v>187</v>
      </c>
      <c r="C32" s="206">
        <v>0</v>
      </c>
      <c r="D32" s="206">
        <v>0</v>
      </c>
      <c r="E32" s="206">
        <v>0</v>
      </c>
      <c r="F32" s="206">
        <v>0</v>
      </c>
      <c r="G32" s="312">
        <v>0</v>
      </c>
      <c r="H32" s="206">
        <v>71</v>
      </c>
      <c r="I32" s="206">
        <v>472</v>
      </c>
      <c r="J32" s="206">
        <v>31</v>
      </c>
      <c r="K32" s="206">
        <v>1.9</v>
      </c>
      <c r="L32" s="312">
        <f t="shared" si="1"/>
        <v>0.40254237288135591</v>
      </c>
      <c r="M32" s="40">
        <v>0</v>
      </c>
      <c r="N32" s="40">
        <v>0</v>
      </c>
      <c r="O32" s="206">
        <v>0</v>
      </c>
      <c r="P32" s="206">
        <v>0</v>
      </c>
      <c r="Q32" s="40">
        <f>M32+H32+C32+'ACP_PS_11(i)'!M32+'ACP_PS_11(i)'!H32+'ACP_PS_11(i)'!C32+ACP_MSME_10!C32+'ACP_Agri_9(ii)'!M32</f>
        <v>2235</v>
      </c>
      <c r="R32" s="40">
        <f>N32+I32+D32+'ACP_PS_11(i)'!N32+'ACP_PS_11(i)'!I32+'ACP_PS_11(i)'!D32+ACP_MSME_10!D32+'ACP_Agri_9(ii)'!N32</f>
        <v>11756</v>
      </c>
      <c r="S32" s="40">
        <f>O32+J32+E32+'ACP_PS_11(i)'!O32+'ACP_PS_11(i)'!J32+'ACP_PS_11(i)'!E32+ACP_MSME_10!O32+'ACP_Agri_9(ii)'!O32</f>
        <v>2852</v>
      </c>
      <c r="T32" s="40">
        <f>P32+K32+F32+'ACP_PS_11(i)'!P32+'ACP_PS_11(i)'!K32+'ACP_PS_11(i)'!F32+ACP_MSME_10!P32+'ACP_Agri_9(ii)'!P32</f>
        <v>24021.850000000002</v>
      </c>
      <c r="U32" s="312">
        <f t="shared" si="2"/>
        <v>204.33693433140525</v>
      </c>
    </row>
    <row r="33" spans="1:23" ht="13" customHeight="1" x14ac:dyDescent="0.2">
      <c r="A33" s="105">
        <v>27</v>
      </c>
      <c r="B33" s="40" t="s">
        <v>188</v>
      </c>
      <c r="C33" s="206">
        <v>0</v>
      </c>
      <c r="D33" s="206">
        <v>0</v>
      </c>
      <c r="E33" s="206">
        <v>0</v>
      </c>
      <c r="F33" s="206">
        <v>0</v>
      </c>
      <c r="G33" s="312">
        <v>0</v>
      </c>
      <c r="H33" s="206">
        <v>57</v>
      </c>
      <c r="I33" s="206">
        <v>428</v>
      </c>
      <c r="J33" s="206">
        <v>0</v>
      </c>
      <c r="K33" s="206">
        <v>0</v>
      </c>
      <c r="L33" s="312">
        <f t="shared" si="1"/>
        <v>0</v>
      </c>
      <c r="M33" s="40">
        <v>1</v>
      </c>
      <c r="N33" s="40">
        <v>8</v>
      </c>
      <c r="O33" s="206">
        <v>0</v>
      </c>
      <c r="P33" s="206">
        <v>0</v>
      </c>
      <c r="Q33" s="40">
        <f>M33+H33+C33+'ACP_PS_11(i)'!M33+'ACP_PS_11(i)'!H33+'ACP_PS_11(i)'!C33+ACP_MSME_10!C33+'ACP_Agri_9(ii)'!M33</f>
        <v>1123</v>
      </c>
      <c r="R33" s="40">
        <f>N33+I33+D33+'ACP_PS_11(i)'!N33+'ACP_PS_11(i)'!I33+'ACP_PS_11(i)'!D33+ACP_MSME_10!D33+'ACP_Agri_9(ii)'!N33</f>
        <v>7397</v>
      </c>
      <c r="S33" s="40">
        <f>O33+J33+E33+'ACP_PS_11(i)'!O33+'ACP_PS_11(i)'!J33+'ACP_PS_11(i)'!E33+ACP_MSME_10!O33+'ACP_Agri_9(ii)'!O33</f>
        <v>99</v>
      </c>
      <c r="T33" s="40">
        <f>P33+K33+F33+'ACP_PS_11(i)'!P33+'ACP_PS_11(i)'!K33+'ACP_PS_11(i)'!F33+ACP_MSME_10!P33+'ACP_Agri_9(ii)'!P33</f>
        <v>425.75</v>
      </c>
      <c r="U33" s="312">
        <f t="shared" si="2"/>
        <v>5.7557117750439364</v>
      </c>
    </row>
    <row r="34" spans="1:23" ht="13" customHeight="1" x14ac:dyDescent="0.2">
      <c r="A34" s="105">
        <v>28</v>
      </c>
      <c r="B34" s="40" t="s">
        <v>67</v>
      </c>
      <c r="C34" s="206">
        <v>219</v>
      </c>
      <c r="D34" s="206">
        <v>707</v>
      </c>
      <c r="E34" s="206">
        <v>0</v>
      </c>
      <c r="F34" s="206">
        <v>0</v>
      </c>
      <c r="G34" s="312">
        <f t="shared" si="0"/>
        <v>0</v>
      </c>
      <c r="H34" s="206">
        <v>135</v>
      </c>
      <c r="I34" s="206">
        <v>631</v>
      </c>
      <c r="J34" s="206">
        <v>0</v>
      </c>
      <c r="K34" s="206">
        <v>0</v>
      </c>
      <c r="L34" s="312">
        <f t="shared" si="1"/>
        <v>0</v>
      </c>
      <c r="M34" s="40">
        <v>0</v>
      </c>
      <c r="N34" s="40">
        <v>0</v>
      </c>
      <c r="O34" s="206">
        <v>4872</v>
      </c>
      <c r="P34" s="206">
        <v>1808.21</v>
      </c>
      <c r="Q34" s="40">
        <f>M34+H34+C34+'ACP_PS_11(i)'!M34+'ACP_PS_11(i)'!H34+'ACP_PS_11(i)'!C34+ACP_MSME_10!C34+'ACP_Agri_9(ii)'!M34</f>
        <v>32625</v>
      </c>
      <c r="R34" s="40">
        <f>N34+I34+D34+'ACP_PS_11(i)'!N34+'ACP_PS_11(i)'!I34+'ACP_PS_11(i)'!D34+ACP_MSME_10!D34+'ACP_Agri_9(ii)'!N34</f>
        <v>113494</v>
      </c>
      <c r="S34" s="40">
        <f>O34+J34+E34+'ACP_PS_11(i)'!O34+'ACP_PS_11(i)'!J34+'ACP_PS_11(i)'!E34+ACP_MSME_10!O34+'ACP_Agri_9(ii)'!O34</f>
        <v>21857</v>
      </c>
      <c r="T34" s="40">
        <f>P34+K34+F34+'ACP_PS_11(i)'!P34+'ACP_PS_11(i)'!K34+'ACP_PS_11(i)'!F34+ACP_MSME_10!P34+'ACP_Agri_9(ii)'!P34</f>
        <v>59104.36</v>
      </c>
      <c r="U34" s="312">
        <f t="shared" si="2"/>
        <v>52.077078964526763</v>
      </c>
    </row>
    <row r="35" spans="1:23" ht="13" customHeight="1" x14ac:dyDescent="0.2">
      <c r="A35" s="105">
        <v>29</v>
      </c>
      <c r="B35" s="40" t="s">
        <v>189</v>
      </c>
      <c r="C35" s="206">
        <v>10</v>
      </c>
      <c r="D35" s="206">
        <v>21</v>
      </c>
      <c r="E35" s="206">
        <v>0</v>
      </c>
      <c r="F35" s="206">
        <v>0</v>
      </c>
      <c r="G35" s="312">
        <f t="shared" si="0"/>
        <v>0</v>
      </c>
      <c r="H35" s="206">
        <v>57</v>
      </c>
      <c r="I35" s="206">
        <v>428</v>
      </c>
      <c r="J35" s="206">
        <v>0</v>
      </c>
      <c r="K35" s="206">
        <v>0</v>
      </c>
      <c r="L35" s="312">
        <f t="shared" si="1"/>
        <v>0</v>
      </c>
      <c r="M35" s="40">
        <v>0</v>
      </c>
      <c r="N35" s="40">
        <v>0</v>
      </c>
      <c r="O35" s="206">
        <v>0</v>
      </c>
      <c r="P35" s="206">
        <v>0</v>
      </c>
      <c r="Q35" s="40">
        <f>M35+H35+C35+'ACP_PS_11(i)'!M35+'ACP_PS_11(i)'!H35+'ACP_PS_11(i)'!C35+ACP_MSME_10!C35+'ACP_Agri_9(ii)'!M35</f>
        <v>1475</v>
      </c>
      <c r="R35" s="40">
        <f>N35+I35+D35+'ACP_PS_11(i)'!N35+'ACP_PS_11(i)'!I35+'ACP_PS_11(i)'!D35+ACP_MSME_10!D35+'ACP_Agri_9(ii)'!N35</f>
        <v>7215</v>
      </c>
      <c r="S35" s="40">
        <f>O35+J35+E35+'ACP_PS_11(i)'!O35+'ACP_PS_11(i)'!J35+'ACP_PS_11(i)'!E35+ACP_MSME_10!O35+'ACP_Agri_9(ii)'!O35</f>
        <v>77</v>
      </c>
      <c r="T35" s="40">
        <f>P35+K35+F35+'ACP_PS_11(i)'!P35+'ACP_PS_11(i)'!K35+'ACP_PS_11(i)'!F35+ACP_MSME_10!P35+'ACP_Agri_9(ii)'!P35</f>
        <v>963</v>
      </c>
      <c r="U35" s="312">
        <f t="shared" si="2"/>
        <v>13.347193347193347</v>
      </c>
    </row>
    <row r="36" spans="1:23" ht="13" customHeight="1" x14ac:dyDescent="0.2">
      <c r="A36" s="105">
        <v>30</v>
      </c>
      <c r="B36" s="40" t="s">
        <v>190</v>
      </c>
      <c r="C36" s="206">
        <v>18</v>
      </c>
      <c r="D36" s="206">
        <v>35</v>
      </c>
      <c r="E36" s="206">
        <v>0</v>
      </c>
      <c r="F36" s="206">
        <v>0</v>
      </c>
      <c r="G36" s="312">
        <f t="shared" si="0"/>
        <v>0</v>
      </c>
      <c r="H36" s="206">
        <v>48</v>
      </c>
      <c r="I36" s="206">
        <v>544</v>
      </c>
      <c r="J36" s="206">
        <v>0</v>
      </c>
      <c r="K36" s="206">
        <v>0</v>
      </c>
      <c r="L36" s="312">
        <f t="shared" si="1"/>
        <v>0</v>
      </c>
      <c r="M36" s="40">
        <v>0</v>
      </c>
      <c r="N36" s="40">
        <v>0</v>
      </c>
      <c r="O36" s="206">
        <v>817</v>
      </c>
      <c r="P36" s="206">
        <v>236</v>
      </c>
      <c r="Q36" s="40">
        <f>M36+H36+C36+'ACP_PS_11(i)'!M36+'ACP_PS_11(i)'!H36+'ACP_PS_11(i)'!C36+ACP_MSME_10!C36+'ACP_Agri_9(ii)'!M36</f>
        <v>10694</v>
      </c>
      <c r="R36" s="40">
        <f>N36+I36+D36+'ACP_PS_11(i)'!N36+'ACP_PS_11(i)'!I36+'ACP_PS_11(i)'!D36+ACP_MSME_10!D36+'ACP_Agri_9(ii)'!N36</f>
        <v>34768</v>
      </c>
      <c r="S36" s="40">
        <f>O36+J36+E36+'ACP_PS_11(i)'!O36+'ACP_PS_11(i)'!J36+'ACP_PS_11(i)'!E36+ACP_MSME_10!O36+'ACP_Agri_9(ii)'!O36</f>
        <v>14819</v>
      </c>
      <c r="T36" s="40">
        <f>P36+K36+F36+'ACP_PS_11(i)'!P36+'ACP_PS_11(i)'!K36+'ACP_PS_11(i)'!F36+ACP_MSME_10!P36+'ACP_Agri_9(ii)'!P36</f>
        <v>9955</v>
      </c>
      <c r="U36" s="312">
        <f t="shared" si="2"/>
        <v>28.632650713299586</v>
      </c>
    </row>
    <row r="37" spans="1:23" ht="13" customHeight="1" x14ac:dyDescent="0.2">
      <c r="A37" s="105">
        <v>31</v>
      </c>
      <c r="B37" s="40" t="s">
        <v>191</v>
      </c>
      <c r="C37" s="206">
        <v>0</v>
      </c>
      <c r="D37" s="206">
        <v>0</v>
      </c>
      <c r="E37" s="206">
        <v>0</v>
      </c>
      <c r="F37" s="206">
        <v>0</v>
      </c>
      <c r="G37" s="312">
        <v>0</v>
      </c>
      <c r="H37" s="206">
        <v>36</v>
      </c>
      <c r="I37" s="206">
        <v>738</v>
      </c>
      <c r="J37" s="206">
        <v>0</v>
      </c>
      <c r="K37" s="206">
        <v>0</v>
      </c>
      <c r="L37" s="312">
        <f t="shared" si="1"/>
        <v>0</v>
      </c>
      <c r="M37" s="40">
        <v>0</v>
      </c>
      <c r="N37" s="40">
        <v>0</v>
      </c>
      <c r="O37" s="206">
        <v>0</v>
      </c>
      <c r="P37" s="206">
        <v>0</v>
      </c>
      <c r="Q37" s="40">
        <f>M37+H37+C37+'ACP_PS_11(i)'!M37+'ACP_PS_11(i)'!H37+'ACP_PS_11(i)'!C37+ACP_MSME_10!C37+'ACP_Agri_9(ii)'!M37</f>
        <v>1537</v>
      </c>
      <c r="R37" s="40">
        <f>N37+I37+D37+'ACP_PS_11(i)'!N37+'ACP_PS_11(i)'!I37+'ACP_PS_11(i)'!D37+ACP_MSME_10!D37+'ACP_Agri_9(ii)'!N37</f>
        <v>8922</v>
      </c>
      <c r="S37" s="40">
        <f>O37+J37+E37+'ACP_PS_11(i)'!O37+'ACP_PS_11(i)'!J37+'ACP_PS_11(i)'!E37+ACP_MSME_10!O37+'ACP_Agri_9(ii)'!O37</f>
        <v>217</v>
      </c>
      <c r="T37" s="40">
        <f>P37+K37+F37+'ACP_PS_11(i)'!P37+'ACP_PS_11(i)'!K37+'ACP_PS_11(i)'!F37+ACP_MSME_10!P37+'ACP_Agri_9(ii)'!P37</f>
        <v>2037</v>
      </c>
      <c r="U37" s="312">
        <f t="shared" si="2"/>
        <v>22.831203765971754</v>
      </c>
    </row>
    <row r="38" spans="1:23" ht="13" customHeight="1" x14ac:dyDescent="0.2">
      <c r="A38" s="105">
        <v>32</v>
      </c>
      <c r="B38" s="40" t="s">
        <v>71</v>
      </c>
      <c r="C38" s="206">
        <v>0</v>
      </c>
      <c r="D38" s="206">
        <v>0</v>
      </c>
      <c r="E38" s="206">
        <v>0</v>
      </c>
      <c r="F38" s="206">
        <v>0</v>
      </c>
      <c r="G38" s="312">
        <v>0</v>
      </c>
      <c r="H38" s="206">
        <v>0</v>
      </c>
      <c r="I38" s="206">
        <v>0</v>
      </c>
      <c r="J38" s="206">
        <v>0</v>
      </c>
      <c r="K38" s="206">
        <v>0</v>
      </c>
      <c r="L38" s="312">
        <v>0</v>
      </c>
      <c r="M38" s="40">
        <v>0</v>
      </c>
      <c r="N38" s="40">
        <v>0</v>
      </c>
      <c r="O38" s="206">
        <v>0</v>
      </c>
      <c r="P38" s="206">
        <v>0</v>
      </c>
      <c r="Q38" s="40">
        <f>M38+H38+C38+'ACP_PS_11(i)'!M38+'ACP_PS_11(i)'!H38+'ACP_PS_11(i)'!C38+ACP_MSME_10!C38+'ACP_Agri_9(ii)'!M38</f>
        <v>405</v>
      </c>
      <c r="R38" s="40">
        <f>N38+I38+D38+'ACP_PS_11(i)'!N38+'ACP_PS_11(i)'!I38+'ACP_PS_11(i)'!D38+ACP_MSME_10!D38+'ACP_Agri_9(ii)'!N38</f>
        <v>2880</v>
      </c>
      <c r="S38" s="40">
        <f>O38+J38+E38+'ACP_PS_11(i)'!O38+'ACP_PS_11(i)'!J38+'ACP_PS_11(i)'!E38+ACP_MSME_10!O38+'ACP_Agri_9(ii)'!O38</f>
        <v>0</v>
      </c>
      <c r="T38" s="40">
        <f>P38+K38+F38+'ACP_PS_11(i)'!P38+'ACP_PS_11(i)'!K38+'ACP_PS_11(i)'!F38+ACP_MSME_10!P38+'ACP_Agri_9(ii)'!P38</f>
        <v>0</v>
      </c>
      <c r="U38" s="312">
        <f t="shared" si="2"/>
        <v>0</v>
      </c>
    </row>
    <row r="39" spans="1:23" ht="13" customHeight="1" x14ac:dyDescent="0.2">
      <c r="A39" s="105">
        <v>33</v>
      </c>
      <c r="B39" s="40" t="s">
        <v>192</v>
      </c>
      <c r="C39" s="206">
        <v>0</v>
      </c>
      <c r="D39" s="206">
        <v>0</v>
      </c>
      <c r="E39" s="206">
        <v>0</v>
      </c>
      <c r="F39" s="206">
        <v>0</v>
      </c>
      <c r="G39" s="312">
        <v>0</v>
      </c>
      <c r="H39" s="206">
        <v>0</v>
      </c>
      <c r="I39" s="206">
        <v>0</v>
      </c>
      <c r="J39" s="206">
        <v>0</v>
      </c>
      <c r="K39" s="206">
        <v>0</v>
      </c>
      <c r="L39" s="312">
        <v>0</v>
      </c>
      <c r="M39" s="40">
        <v>0</v>
      </c>
      <c r="N39" s="40">
        <v>0</v>
      </c>
      <c r="O39" s="206">
        <v>5</v>
      </c>
      <c r="P39" s="206">
        <v>0.26</v>
      </c>
      <c r="Q39" s="40">
        <f>M39+H39+C39+'ACP_PS_11(i)'!M39+'ACP_PS_11(i)'!H39+'ACP_PS_11(i)'!C39+ACP_MSME_10!C39+'ACP_Agri_9(ii)'!M39</f>
        <v>747</v>
      </c>
      <c r="R39" s="40">
        <f>N39+I39+D39+'ACP_PS_11(i)'!N39+'ACP_PS_11(i)'!I39+'ACP_PS_11(i)'!D39+ACP_MSME_10!D39+'ACP_Agri_9(ii)'!N39</f>
        <v>2150</v>
      </c>
      <c r="S39" s="40">
        <f>O39+J39+E39+'ACP_PS_11(i)'!O39+'ACP_PS_11(i)'!J39+'ACP_PS_11(i)'!E39+ACP_MSME_10!O39+'ACP_Agri_9(ii)'!O39</f>
        <v>500</v>
      </c>
      <c r="T39" s="40">
        <f>P39+K39+F39+'ACP_PS_11(i)'!P39+'ACP_PS_11(i)'!K39+'ACP_PS_11(i)'!F39+ACP_MSME_10!P39+'ACP_Agri_9(ii)'!P39</f>
        <v>2990.26</v>
      </c>
      <c r="U39" s="312">
        <f t="shared" si="2"/>
        <v>139.08186046511628</v>
      </c>
    </row>
    <row r="40" spans="1:23" ht="13" customHeight="1" x14ac:dyDescent="0.2">
      <c r="A40" s="105">
        <v>34</v>
      </c>
      <c r="B40" s="40" t="s">
        <v>70</v>
      </c>
      <c r="C40" s="206">
        <v>52</v>
      </c>
      <c r="D40" s="206">
        <v>138</v>
      </c>
      <c r="E40" s="206">
        <v>0</v>
      </c>
      <c r="F40" s="206">
        <v>0</v>
      </c>
      <c r="G40" s="312">
        <f t="shared" si="0"/>
        <v>0</v>
      </c>
      <c r="H40" s="206">
        <v>95</v>
      </c>
      <c r="I40" s="206">
        <v>630</v>
      </c>
      <c r="J40" s="206">
        <v>0</v>
      </c>
      <c r="K40" s="206">
        <v>0</v>
      </c>
      <c r="L40" s="312">
        <f t="shared" si="1"/>
        <v>0</v>
      </c>
      <c r="M40" s="40">
        <v>1</v>
      </c>
      <c r="N40" s="40">
        <v>31</v>
      </c>
      <c r="O40" s="206">
        <v>50</v>
      </c>
      <c r="P40" s="206">
        <v>20</v>
      </c>
      <c r="Q40" s="40">
        <f>M40+H40+C40+'ACP_PS_11(i)'!M40+'ACP_PS_11(i)'!H40+'ACP_PS_11(i)'!C40+ACP_MSME_10!C40+'ACP_Agri_9(ii)'!M40</f>
        <v>14318</v>
      </c>
      <c r="R40" s="40">
        <f>N40+I40+D40+'ACP_PS_11(i)'!N40+'ACP_PS_11(i)'!I40+'ACP_PS_11(i)'!D40+ACP_MSME_10!D40+'ACP_Agri_9(ii)'!N40</f>
        <v>55735</v>
      </c>
      <c r="S40" s="40">
        <f>O40+J40+E40+'ACP_PS_11(i)'!O40+'ACP_PS_11(i)'!J40+'ACP_PS_11(i)'!E40+ACP_MSME_10!O40+'ACP_Agri_9(ii)'!O40</f>
        <v>3143</v>
      </c>
      <c r="T40" s="40">
        <f>P40+K40+F40+'ACP_PS_11(i)'!P40+'ACP_PS_11(i)'!K40+'ACP_PS_11(i)'!F40+ACP_MSME_10!P40+'ACP_Agri_9(ii)'!P40</f>
        <v>35629</v>
      </c>
      <c r="U40" s="312">
        <f t="shared" si="2"/>
        <v>63.925719924643403</v>
      </c>
    </row>
    <row r="41" spans="1:23" s="43" customFormat="1" ht="13" customHeight="1" x14ac:dyDescent="0.2">
      <c r="A41" s="293"/>
      <c r="B41" s="42" t="s">
        <v>213</v>
      </c>
      <c r="C41" s="208">
        <f>SUM(C19:C40)</f>
        <v>3989</v>
      </c>
      <c r="D41" s="208">
        <f t="shared" ref="D41:P41" si="4">SUM(D19:D40)</f>
        <v>13071</v>
      </c>
      <c r="E41" s="208">
        <f t="shared" si="4"/>
        <v>257</v>
      </c>
      <c r="F41" s="208">
        <f t="shared" si="4"/>
        <v>105.88</v>
      </c>
      <c r="G41" s="313">
        <f t="shared" si="0"/>
        <v>0.8100374875678984</v>
      </c>
      <c r="H41" s="208">
        <f t="shared" si="4"/>
        <v>3693</v>
      </c>
      <c r="I41" s="208">
        <f t="shared" si="4"/>
        <v>17011</v>
      </c>
      <c r="J41" s="208">
        <f t="shared" si="4"/>
        <v>31</v>
      </c>
      <c r="K41" s="208">
        <f t="shared" si="4"/>
        <v>1.9</v>
      </c>
      <c r="L41" s="313">
        <f t="shared" si="1"/>
        <v>1.1169243430721298E-2</v>
      </c>
      <c r="M41" s="208">
        <f t="shared" si="4"/>
        <v>277</v>
      </c>
      <c r="N41" s="208">
        <f t="shared" si="4"/>
        <v>601</v>
      </c>
      <c r="O41" s="208">
        <f t="shared" si="4"/>
        <v>7699</v>
      </c>
      <c r="P41" s="208">
        <f t="shared" si="4"/>
        <v>4340.0300000000007</v>
      </c>
      <c r="Q41" s="42">
        <f>M41+H41+C41+'ACP_PS_11(i)'!M41+'ACP_PS_11(i)'!H41+'ACP_PS_11(i)'!C41+ACP_MSME_10!C41+'ACP_Agri_9(ii)'!M41</f>
        <v>637291</v>
      </c>
      <c r="R41" s="42">
        <f>N41+I41+D41+'ACP_PS_11(i)'!N41+'ACP_PS_11(i)'!I41+'ACP_PS_11(i)'!D41+ACP_MSME_10!D41+'ACP_Agri_9(ii)'!N41</f>
        <v>2143104</v>
      </c>
      <c r="S41" s="42">
        <f>O41+J41+E41+'ACP_PS_11(i)'!O41+'ACP_PS_11(i)'!J41+'ACP_PS_11(i)'!E41+ACP_MSME_10!O41+'ACP_Agri_9(ii)'!O41</f>
        <v>336878</v>
      </c>
      <c r="T41" s="42">
        <f>P41+K41+F41+'ACP_PS_11(i)'!P41+'ACP_PS_11(i)'!K41+'ACP_PS_11(i)'!F41+ACP_MSME_10!P41+'ACP_Agri_9(ii)'!P41</f>
        <v>1050048.9000000001</v>
      </c>
      <c r="U41" s="313">
        <f t="shared" si="2"/>
        <v>48.996637587349944</v>
      </c>
      <c r="V41" s="305"/>
      <c r="W41" s="305"/>
    </row>
    <row r="42" spans="1:23" s="43" customFormat="1" ht="13" customHeight="1" x14ac:dyDescent="0.2">
      <c r="A42" s="293"/>
      <c r="B42" s="42" t="s">
        <v>311</v>
      </c>
      <c r="C42" s="208">
        <f>C41+C18</f>
        <v>17523</v>
      </c>
      <c r="D42" s="208">
        <f t="shared" ref="D42:P42" si="5">D41+D18</f>
        <v>64295</v>
      </c>
      <c r="E42" s="208">
        <f t="shared" si="5"/>
        <v>333</v>
      </c>
      <c r="F42" s="208">
        <f t="shared" si="5"/>
        <v>2532.3200000000002</v>
      </c>
      <c r="G42" s="313">
        <f t="shared" si="0"/>
        <v>3.9385955362003271</v>
      </c>
      <c r="H42" s="208">
        <f t="shared" si="5"/>
        <v>16601</v>
      </c>
      <c r="I42" s="208">
        <f t="shared" si="5"/>
        <v>56795</v>
      </c>
      <c r="J42" s="208">
        <f t="shared" si="5"/>
        <v>66</v>
      </c>
      <c r="K42" s="208">
        <f t="shared" si="5"/>
        <v>1643.5900000000001</v>
      </c>
      <c r="L42" s="313">
        <f t="shared" si="1"/>
        <v>2.8938991108372214</v>
      </c>
      <c r="M42" s="208">
        <f t="shared" si="5"/>
        <v>2033</v>
      </c>
      <c r="N42" s="208">
        <f t="shared" si="5"/>
        <v>16253</v>
      </c>
      <c r="O42" s="208">
        <f t="shared" si="5"/>
        <v>29672</v>
      </c>
      <c r="P42" s="208">
        <f t="shared" si="5"/>
        <v>40278.53</v>
      </c>
      <c r="Q42" s="42">
        <f>M42+H42+C42+'ACP_PS_11(i)'!M42+'ACP_PS_11(i)'!H42+'ACP_PS_11(i)'!C42+ACP_MSME_10!C42+'ACP_Agri_9(ii)'!M42</f>
        <v>4625982</v>
      </c>
      <c r="R42" s="42">
        <f>N42+I42+D42+'ACP_PS_11(i)'!N42+'ACP_PS_11(i)'!I42+'ACP_PS_11(i)'!D42+ACP_MSME_10!D42+'ACP_Agri_9(ii)'!N42</f>
        <v>14011735</v>
      </c>
      <c r="S42" s="42">
        <f>O42+J42+E42+'ACP_PS_11(i)'!O42+'ACP_PS_11(i)'!J42+'ACP_PS_11(i)'!E42+ACP_MSME_10!O42+'ACP_Agri_9(ii)'!O42</f>
        <v>991924</v>
      </c>
      <c r="T42" s="42">
        <f>P42+K42+F42+'ACP_PS_11(i)'!P42+'ACP_PS_11(i)'!K42+'ACP_PS_11(i)'!F42+ACP_MSME_10!P42+'ACP_Agri_9(ii)'!P42</f>
        <v>3162445.1178900003</v>
      </c>
      <c r="U42" s="313">
        <f t="shared" si="2"/>
        <v>22.569975223553687</v>
      </c>
      <c r="V42" s="305"/>
      <c r="W42" s="305"/>
    </row>
    <row r="43" spans="1:23" ht="13" customHeight="1" x14ac:dyDescent="0.2">
      <c r="A43" s="105">
        <v>35</v>
      </c>
      <c r="B43" s="40" t="s">
        <v>193</v>
      </c>
      <c r="C43" s="206">
        <v>303</v>
      </c>
      <c r="D43" s="206">
        <v>2039</v>
      </c>
      <c r="E43" s="206">
        <v>0</v>
      </c>
      <c r="F43" s="206">
        <v>0</v>
      </c>
      <c r="G43" s="312">
        <f t="shared" si="0"/>
        <v>0</v>
      </c>
      <c r="H43" s="206">
        <v>602</v>
      </c>
      <c r="I43" s="206">
        <v>1263</v>
      </c>
      <c r="J43" s="206">
        <v>0</v>
      </c>
      <c r="K43" s="206">
        <v>0</v>
      </c>
      <c r="L43" s="312">
        <f t="shared" si="1"/>
        <v>0</v>
      </c>
      <c r="M43" s="40">
        <v>578</v>
      </c>
      <c r="N43" s="40">
        <v>3766</v>
      </c>
      <c r="O43" s="206">
        <v>221</v>
      </c>
      <c r="P43" s="206">
        <v>198</v>
      </c>
      <c r="Q43" s="40">
        <f>M43+H43+C43+'ACP_PS_11(i)'!M43+'ACP_PS_11(i)'!H43+'ACP_PS_11(i)'!C43+ACP_MSME_10!C43+'ACP_Agri_9(ii)'!M43</f>
        <v>499526</v>
      </c>
      <c r="R43" s="40">
        <f>N43+I43+D43+'ACP_PS_11(i)'!N43+'ACP_PS_11(i)'!I43+'ACP_PS_11(i)'!D43+ACP_MSME_10!D43+'ACP_Agri_9(ii)'!N43</f>
        <v>1192330</v>
      </c>
      <c r="S43" s="40">
        <f>O43+J43+E43+'ACP_PS_11(i)'!O43+'ACP_PS_11(i)'!J43+'ACP_PS_11(i)'!E43+ACP_MSME_10!O43+'ACP_Agri_9(ii)'!O43</f>
        <v>64951</v>
      </c>
      <c r="T43" s="40">
        <f>P43+K43+F43+'ACP_PS_11(i)'!P43+'ACP_PS_11(i)'!K43+'ACP_PS_11(i)'!F43+ACP_MSME_10!P43+'ACP_Agri_9(ii)'!P43</f>
        <v>78932</v>
      </c>
      <c r="U43" s="312">
        <f t="shared" si="2"/>
        <v>6.6199793681279511</v>
      </c>
    </row>
    <row r="44" spans="1:23" ht="13" customHeight="1" x14ac:dyDescent="0.2">
      <c r="A44" s="105">
        <v>36</v>
      </c>
      <c r="B44" s="40" t="s">
        <v>382</v>
      </c>
      <c r="C44" s="206">
        <v>937</v>
      </c>
      <c r="D44" s="206">
        <v>2729</v>
      </c>
      <c r="E44" s="206">
        <v>1</v>
      </c>
      <c r="F44" s="206">
        <v>0.1</v>
      </c>
      <c r="G44" s="312">
        <f t="shared" si="0"/>
        <v>3.6643459142543058E-3</v>
      </c>
      <c r="H44" s="206">
        <v>802</v>
      </c>
      <c r="I44" s="206">
        <v>1307</v>
      </c>
      <c r="J44" s="206">
        <v>0</v>
      </c>
      <c r="K44" s="206">
        <v>0</v>
      </c>
      <c r="L44" s="312">
        <f t="shared" si="1"/>
        <v>0</v>
      </c>
      <c r="M44" s="40">
        <v>0</v>
      </c>
      <c r="N44" s="40">
        <v>0</v>
      </c>
      <c r="O44" s="206">
        <v>3086</v>
      </c>
      <c r="P44" s="206">
        <v>8731.6</v>
      </c>
      <c r="Q44" s="40">
        <f>M44+H44+C44+'ACP_PS_11(i)'!M44+'ACP_PS_11(i)'!H44+'ACP_PS_11(i)'!C44+ACP_MSME_10!C44+'ACP_Agri_9(ii)'!M44</f>
        <v>334656</v>
      </c>
      <c r="R44" s="40">
        <f>N44+I44+D44+'ACP_PS_11(i)'!N44+'ACP_PS_11(i)'!I44+'ACP_PS_11(i)'!D44+ACP_MSME_10!D44+'ACP_Agri_9(ii)'!N44</f>
        <v>784997</v>
      </c>
      <c r="S44" s="40">
        <f>O44+J44+E44+'ACP_PS_11(i)'!O44+'ACP_PS_11(i)'!J44+'ACP_PS_11(i)'!E44+ACP_MSME_10!O44+'ACP_Agri_9(ii)'!O44</f>
        <v>119330</v>
      </c>
      <c r="T44" s="40">
        <f>P44+K44+F44+'ACP_PS_11(i)'!P44+'ACP_PS_11(i)'!K44+'ACP_PS_11(i)'!F44+ACP_MSME_10!P44+'ACP_Agri_9(ii)'!P44</f>
        <v>239556.8</v>
      </c>
      <c r="U44" s="312">
        <f t="shared" si="2"/>
        <v>30.516906434037328</v>
      </c>
    </row>
    <row r="45" spans="1:23" s="43" customFormat="1" ht="13" customHeight="1" x14ac:dyDescent="0.2">
      <c r="A45" s="293"/>
      <c r="B45" s="42" t="s">
        <v>216</v>
      </c>
      <c r="C45" s="208">
        <f>SUM(C43:C44)</f>
        <v>1240</v>
      </c>
      <c r="D45" s="208">
        <f t="shared" ref="D45:P45" si="6">SUM(D43:D44)</f>
        <v>4768</v>
      </c>
      <c r="E45" s="208">
        <f t="shared" si="6"/>
        <v>1</v>
      </c>
      <c r="F45" s="208">
        <f t="shared" si="6"/>
        <v>0.1</v>
      </c>
      <c r="G45" s="313">
        <f t="shared" si="0"/>
        <v>2.0973154362416107E-3</v>
      </c>
      <c r="H45" s="208">
        <f t="shared" si="6"/>
        <v>1404</v>
      </c>
      <c r="I45" s="208">
        <f t="shared" si="6"/>
        <v>2570</v>
      </c>
      <c r="J45" s="208">
        <f t="shared" si="6"/>
        <v>0</v>
      </c>
      <c r="K45" s="208">
        <f t="shared" si="6"/>
        <v>0</v>
      </c>
      <c r="L45" s="313">
        <f t="shared" si="1"/>
        <v>0</v>
      </c>
      <c r="M45" s="208">
        <f t="shared" si="6"/>
        <v>578</v>
      </c>
      <c r="N45" s="208">
        <f t="shared" si="6"/>
        <v>3766</v>
      </c>
      <c r="O45" s="208">
        <f t="shared" si="6"/>
        <v>3307</v>
      </c>
      <c r="P45" s="208">
        <f t="shared" si="6"/>
        <v>8929.6</v>
      </c>
      <c r="Q45" s="42">
        <f>M45+H45+C45+'ACP_PS_11(i)'!M45+'ACP_PS_11(i)'!H45+'ACP_PS_11(i)'!C45+ACP_MSME_10!C45+'ACP_Agri_9(ii)'!M45</f>
        <v>834182</v>
      </c>
      <c r="R45" s="42">
        <f>N45+I45+D45+'ACP_PS_11(i)'!N45+'ACP_PS_11(i)'!I45+'ACP_PS_11(i)'!D45+ACP_MSME_10!D45+'ACP_Agri_9(ii)'!N45</f>
        <v>1977327</v>
      </c>
      <c r="S45" s="42">
        <f>O45+J45+E45+'ACP_PS_11(i)'!O45+'ACP_PS_11(i)'!J45+'ACP_PS_11(i)'!E45+ACP_MSME_10!O45+'ACP_Agri_9(ii)'!O45</f>
        <v>184281</v>
      </c>
      <c r="T45" s="42">
        <f>P45+K45+F45+'ACP_PS_11(i)'!P45+'ACP_PS_11(i)'!K45+'ACP_PS_11(i)'!F45+ACP_MSME_10!P45+'ACP_Agri_9(ii)'!P45</f>
        <v>318488.8</v>
      </c>
      <c r="U45" s="313">
        <f t="shared" si="2"/>
        <v>16.10703742982319</v>
      </c>
      <c r="V45" s="305"/>
      <c r="W45" s="305"/>
    </row>
    <row r="46" spans="1:23" ht="13" customHeight="1" x14ac:dyDescent="0.2">
      <c r="A46" s="105">
        <v>37</v>
      </c>
      <c r="B46" s="40" t="s">
        <v>312</v>
      </c>
      <c r="C46" s="206">
        <v>300</v>
      </c>
      <c r="D46" s="206">
        <v>994</v>
      </c>
      <c r="E46" s="206">
        <v>0</v>
      </c>
      <c r="F46" s="206">
        <v>0</v>
      </c>
      <c r="G46" s="312">
        <f t="shared" si="0"/>
        <v>0</v>
      </c>
      <c r="H46" s="206">
        <v>114</v>
      </c>
      <c r="I46" s="206">
        <v>299</v>
      </c>
      <c r="J46" s="206">
        <v>0</v>
      </c>
      <c r="K46" s="206">
        <v>0</v>
      </c>
      <c r="L46" s="312">
        <f t="shared" si="1"/>
        <v>0</v>
      </c>
      <c r="M46" s="40">
        <v>202</v>
      </c>
      <c r="N46" s="40">
        <v>147</v>
      </c>
      <c r="O46" s="206">
        <v>0</v>
      </c>
      <c r="P46" s="206">
        <v>0</v>
      </c>
      <c r="Q46" s="40">
        <f>M46+H46+C46+'ACP_PS_11(i)'!M46+'ACP_PS_11(i)'!H46+'ACP_PS_11(i)'!C46+ACP_MSME_10!C46+'ACP_Agri_9(ii)'!M46</f>
        <v>1556138</v>
      </c>
      <c r="R46" s="40">
        <f>N46+I46+D46+'ACP_PS_11(i)'!N46+'ACP_PS_11(i)'!I46+'ACP_PS_11(i)'!D46+ACP_MSME_10!D46+'ACP_Agri_9(ii)'!N46</f>
        <v>3697937</v>
      </c>
      <c r="S46" s="40">
        <f>O46+J46+E46+'ACP_PS_11(i)'!O46+'ACP_PS_11(i)'!J46+'ACP_PS_11(i)'!E46+ACP_MSME_10!O46+'ACP_Agri_9(ii)'!O46</f>
        <v>1207801</v>
      </c>
      <c r="T46" s="40">
        <f>P46+K46+F46+'ACP_PS_11(i)'!P46+'ACP_PS_11(i)'!K46+'ACP_PS_11(i)'!F46+ACP_MSME_10!P46+'ACP_Agri_9(ii)'!P46</f>
        <v>997719</v>
      </c>
      <c r="U46" s="312">
        <f t="shared" si="2"/>
        <v>26.980421786525838</v>
      </c>
    </row>
    <row r="47" spans="1:23" s="43" customFormat="1" ht="13" customHeight="1" x14ac:dyDescent="0.2">
      <c r="A47" s="293"/>
      <c r="B47" s="42" t="s">
        <v>214</v>
      </c>
      <c r="C47" s="208">
        <f>C46</f>
        <v>300</v>
      </c>
      <c r="D47" s="208">
        <f t="shared" ref="D47:P47" si="7">D46</f>
        <v>994</v>
      </c>
      <c r="E47" s="208">
        <f t="shared" si="7"/>
        <v>0</v>
      </c>
      <c r="F47" s="208">
        <f t="shared" si="7"/>
        <v>0</v>
      </c>
      <c r="G47" s="313">
        <f t="shared" si="0"/>
        <v>0</v>
      </c>
      <c r="H47" s="208">
        <f t="shared" si="7"/>
        <v>114</v>
      </c>
      <c r="I47" s="208">
        <f t="shared" si="7"/>
        <v>299</v>
      </c>
      <c r="J47" s="208">
        <f t="shared" si="7"/>
        <v>0</v>
      </c>
      <c r="K47" s="208">
        <f t="shared" si="7"/>
        <v>0</v>
      </c>
      <c r="L47" s="313">
        <f t="shared" si="1"/>
        <v>0</v>
      </c>
      <c r="M47" s="208">
        <f t="shared" si="7"/>
        <v>202</v>
      </c>
      <c r="N47" s="208">
        <f t="shared" si="7"/>
        <v>147</v>
      </c>
      <c r="O47" s="208">
        <f t="shared" si="7"/>
        <v>0</v>
      </c>
      <c r="P47" s="208">
        <f t="shared" si="7"/>
        <v>0</v>
      </c>
      <c r="Q47" s="42">
        <f>M47+H47+C47+'ACP_PS_11(i)'!M47+'ACP_PS_11(i)'!H47+'ACP_PS_11(i)'!C47+ACP_MSME_10!C47+'ACP_Agri_9(ii)'!M47</f>
        <v>1556138</v>
      </c>
      <c r="R47" s="42">
        <f>N47+I47+D47+'ACP_PS_11(i)'!N47+'ACP_PS_11(i)'!I47+'ACP_PS_11(i)'!D47+ACP_MSME_10!D47+'ACP_Agri_9(ii)'!N47</f>
        <v>3697937</v>
      </c>
      <c r="S47" s="42">
        <f>O47+J47+E47+'ACP_PS_11(i)'!O47+'ACP_PS_11(i)'!J47+'ACP_PS_11(i)'!E47+ACP_MSME_10!O47+'ACP_Agri_9(ii)'!O47</f>
        <v>1207801</v>
      </c>
      <c r="T47" s="42">
        <f>P47+K47+F47+'ACP_PS_11(i)'!P47+'ACP_PS_11(i)'!K47+'ACP_PS_11(i)'!F47+ACP_MSME_10!P47+'ACP_Agri_9(ii)'!P47</f>
        <v>997719</v>
      </c>
      <c r="U47" s="313">
        <f t="shared" si="2"/>
        <v>26.980421786525838</v>
      </c>
      <c r="V47" s="305"/>
      <c r="W47" s="305"/>
    </row>
    <row r="48" spans="1:23" ht="13" customHeight="1" x14ac:dyDescent="0.2">
      <c r="A48" s="105">
        <v>38</v>
      </c>
      <c r="B48" s="40" t="s">
        <v>304</v>
      </c>
      <c r="C48" s="206">
        <v>254</v>
      </c>
      <c r="D48" s="206">
        <v>809</v>
      </c>
      <c r="E48" s="206">
        <v>4</v>
      </c>
      <c r="F48" s="206">
        <v>22.59</v>
      </c>
      <c r="G48" s="312">
        <f t="shared" si="0"/>
        <v>2.7923362175525339</v>
      </c>
      <c r="H48" s="206">
        <v>122</v>
      </c>
      <c r="I48" s="206">
        <v>759</v>
      </c>
      <c r="J48" s="206">
        <v>0</v>
      </c>
      <c r="K48" s="206">
        <v>0</v>
      </c>
      <c r="L48" s="312">
        <f t="shared" si="1"/>
        <v>0</v>
      </c>
      <c r="M48" s="40">
        <v>8</v>
      </c>
      <c r="N48" s="40">
        <v>53</v>
      </c>
      <c r="O48" s="206">
        <v>17</v>
      </c>
      <c r="P48" s="206">
        <v>1.7</v>
      </c>
      <c r="Q48" s="40">
        <f>M48+H48+C48+'ACP_PS_11(i)'!M48+'ACP_PS_11(i)'!H48+'ACP_PS_11(i)'!C48+ACP_MSME_10!C48+'ACP_Agri_9(ii)'!M48</f>
        <v>20821</v>
      </c>
      <c r="R48" s="40">
        <f>N48+I48+D48+'ACP_PS_11(i)'!N48+'ACP_PS_11(i)'!I48+'ACP_PS_11(i)'!D48+ACP_MSME_10!D48+'ACP_Agri_9(ii)'!N48</f>
        <v>78091</v>
      </c>
      <c r="S48" s="40">
        <f>O48+J48+E48+'ACP_PS_11(i)'!O48+'ACP_PS_11(i)'!J48+'ACP_PS_11(i)'!E48+ACP_MSME_10!O48+'ACP_Agri_9(ii)'!O48</f>
        <v>5087</v>
      </c>
      <c r="T48" s="40">
        <f>P48+K48+F48+'ACP_PS_11(i)'!P48+'ACP_PS_11(i)'!K48+'ACP_PS_11(i)'!F48+ACP_MSME_10!P48+'ACP_Agri_9(ii)'!P48</f>
        <v>13216.210000000001</v>
      </c>
      <c r="U48" s="312">
        <f t="shared" si="2"/>
        <v>16.924114174488736</v>
      </c>
    </row>
    <row r="49" spans="1:23" ht="13" customHeight="1" x14ac:dyDescent="0.2">
      <c r="A49" s="105">
        <v>39</v>
      </c>
      <c r="B49" s="40" t="s">
        <v>305</v>
      </c>
      <c r="C49" s="40">
        <v>20</v>
      </c>
      <c r="D49" s="40">
        <v>85</v>
      </c>
      <c r="E49" s="40">
        <v>0</v>
      </c>
      <c r="F49" s="40">
        <v>0</v>
      </c>
      <c r="G49" s="312">
        <f t="shared" si="0"/>
        <v>0</v>
      </c>
      <c r="H49" s="40">
        <v>55</v>
      </c>
      <c r="I49" s="40">
        <v>580</v>
      </c>
      <c r="J49" s="40">
        <v>0</v>
      </c>
      <c r="K49" s="40">
        <v>0</v>
      </c>
      <c r="L49" s="312">
        <f t="shared" si="1"/>
        <v>0</v>
      </c>
      <c r="M49" s="40">
        <v>9</v>
      </c>
      <c r="N49" s="40">
        <v>85</v>
      </c>
      <c r="O49" s="40">
        <v>1468</v>
      </c>
      <c r="P49" s="40">
        <v>498</v>
      </c>
      <c r="Q49" s="40">
        <f>M49+H49+C49+'ACP_PS_11(i)'!M49+'ACP_PS_11(i)'!H49+'ACP_PS_11(i)'!C49+ACP_MSME_10!C49+'ACP_Agri_9(ii)'!M49</f>
        <v>9332</v>
      </c>
      <c r="R49" s="40">
        <f>N49+I49+D49+'ACP_PS_11(i)'!N49+'ACP_PS_11(i)'!I49+'ACP_PS_11(i)'!D49+ACP_MSME_10!D49+'ACP_Agri_9(ii)'!N49</f>
        <v>33074</v>
      </c>
      <c r="S49" s="40">
        <f>O49+J49+E49+'ACP_PS_11(i)'!O49+'ACP_PS_11(i)'!J49+'ACP_PS_11(i)'!E49+ACP_MSME_10!O49+'ACP_Agri_9(ii)'!O49</f>
        <v>2361</v>
      </c>
      <c r="T49" s="40">
        <f>P49+K49+F49+'ACP_PS_11(i)'!P49+'ACP_PS_11(i)'!K49+'ACP_PS_11(i)'!F49+ACP_MSME_10!P49+'ACP_Agri_9(ii)'!P49</f>
        <v>1489</v>
      </c>
      <c r="U49" s="312">
        <f t="shared" si="2"/>
        <v>4.5020257604160365</v>
      </c>
    </row>
    <row r="50" spans="1:23" ht="13" customHeight="1" x14ac:dyDescent="0.2">
      <c r="A50" s="105">
        <v>40</v>
      </c>
      <c r="B50" s="40" t="s">
        <v>383</v>
      </c>
      <c r="C50" s="40">
        <v>0</v>
      </c>
      <c r="D50" s="40">
        <v>0</v>
      </c>
      <c r="E50" s="40">
        <v>0</v>
      </c>
      <c r="F50" s="40">
        <v>0</v>
      </c>
      <c r="G50" s="312">
        <v>0</v>
      </c>
      <c r="H50" s="40">
        <v>0</v>
      </c>
      <c r="I50" s="40">
        <v>0</v>
      </c>
      <c r="J50" s="40">
        <v>0</v>
      </c>
      <c r="K50" s="40">
        <v>0</v>
      </c>
      <c r="L50" s="312">
        <v>0</v>
      </c>
      <c r="M50" s="40">
        <v>0</v>
      </c>
      <c r="N50" s="40">
        <v>0</v>
      </c>
      <c r="O50" s="40">
        <v>2105</v>
      </c>
      <c r="P50" s="40">
        <v>372.52</v>
      </c>
      <c r="Q50" s="40">
        <f>M50+H50+C50+'ACP_PS_11(i)'!M50+'ACP_PS_11(i)'!H50+'ACP_PS_11(i)'!C50+ACP_MSME_10!C50+'ACP_Agri_9(ii)'!M50</f>
        <v>2171</v>
      </c>
      <c r="R50" s="40">
        <f>N50+I50+D50+'ACP_PS_11(i)'!N50+'ACP_PS_11(i)'!I50+'ACP_PS_11(i)'!D50+ACP_MSME_10!D50+'ACP_Agri_9(ii)'!N50</f>
        <v>7166</v>
      </c>
      <c r="S50" s="40">
        <f>O50+J50+E50+'ACP_PS_11(i)'!O50+'ACP_PS_11(i)'!J50+'ACP_PS_11(i)'!E50+ACP_MSME_10!O50+'ACP_Agri_9(ii)'!O50</f>
        <v>8842</v>
      </c>
      <c r="T50" s="40">
        <f>P50+K50+F50+'ACP_PS_11(i)'!P50+'ACP_PS_11(i)'!K50+'ACP_PS_11(i)'!F50+ACP_MSME_10!P50+'ACP_Agri_9(ii)'!P50</f>
        <v>3149.02</v>
      </c>
      <c r="U50" s="312">
        <f t="shared" si="2"/>
        <v>43.943901758303099</v>
      </c>
    </row>
    <row r="51" spans="1:23" ht="13" customHeight="1" x14ac:dyDescent="0.2">
      <c r="A51" s="105">
        <v>41</v>
      </c>
      <c r="B51" s="40" t="s">
        <v>306</v>
      </c>
      <c r="C51" s="40">
        <v>0</v>
      </c>
      <c r="D51" s="40">
        <v>0</v>
      </c>
      <c r="E51" s="40">
        <v>0</v>
      </c>
      <c r="F51" s="40">
        <v>0</v>
      </c>
      <c r="G51" s="312">
        <v>0</v>
      </c>
      <c r="H51" s="40">
        <v>12</v>
      </c>
      <c r="I51" s="40">
        <v>33</v>
      </c>
      <c r="J51" s="40">
        <v>0</v>
      </c>
      <c r="K51" s="40">
        <v>0</v>
      </c>
      <c r="L51" s="312">
        <f t="shared" si="1"/>
        <v>0</v>
      </c>
      <c r="M51" s="40">
        <v>0</v>
      </c>
      <c r="N51" s="40">
        <v>0</v>
      </c>
      <c r="O51" s="40">
        <v>77468</v>
      </c>
      <c r="P51" s="40">
        <v>22459.18</v>
      </c>
      <c r="Q51" s="40">
        <f>M51+H51+C51+'ACP_PS_11(i)'!M51+'ACP_PS_11(i)'!H51+'ACP_PS_11(i)'!C51+ACP_MSME_10!C51+'ACP_Agri_9(ii)'!M51</f>
        <v>17402</v>
      </c>
      <c r="R51" s="40">
        <f>N51+I51+D51+'ACP_PS_11(i)'!N51+'ACP_PS_11(i)'!I51+'ACP_PS_11(i)'!D51+ACP_MSME_10!D51+'ACP_Agri_9(ii)'!N51</f>
        <v>45630</v>
      </c>
      <c r="S51" s="40">
        <f>O51+J51+E51+'ACP_PS_11(i)'!O51+'ACP_PS_11(i)'!J51+'ACP_PS_11(i)'!E51+ACP_MSME_10!O51+'ACP_Agri_9(ii)'!O51</f>
        <v>227209</v>
      </c>
      <c r="T51" s="40">
        <f>P51+K51+F51+'ACP_PS_11(i)'!P51+'ACP_PS_11(i)'!K51+'ACP_PS_11(i)'!F51+ACP_MSME_10!P51+'ACP_Agri_9(ii)'!P51</f>
        <v>49876.270000000004</v>
      </c>
      <c r="U51" s="312">
        <f t="shared" si="2"/>
        <v>109.30587332895026</v>
      </c>
    </row>
    <row r="52" spans="1:23" ht="13" customHeight="1" x14ac:dyDescent="0.2">
      <c r="A52" s="105">
        <v>42</v>
      </c>
      <c r="B52" s="40" t="s">
        <v>307</v>
      </c>
      <c r="C52" s="206">
        <v>0</v>
      </c>
      <c r="D52" s="206">
        <v>0</v>
      </c>
      <c r="E52" s="206">
        <v>0</v>
      </c>
      <c r="F52" s="206">
        <v>0</v>
      </c>
      <c r="G52" s="312">
        <v>0</v>
      </c>
      <c r="H52" s="206">
        <v>54</v>
      </c>
      <c r="I52" s="206">
        <v>549</v>
      </c>
      <c r="J52" s="206">
        <v>0</v>
      </c>
      <c r="K52" s="206">
        <v>0</v>
      </c>
      <c r="L52" s="312">
        <f t="shared" si="1"/>
        <v>0</v>
      </c>
      <c r="M52" s="40">
        <v>0</v>
      </c>
      <c r="N52" s="40">
        <v>0</v>
      </c>
      <c r="O52" s="206">
        <v>12434</v>
      </c>
      <c r="P52" s="206">
        <v>5250</v>
      </c>
      <c r="Q52" s="40">
        <f>M52+H52+C52+'ACP_PS_11(i)'!M52+'ACP_PS_11(i)'!H52+'ACP_PS_11(i)'!C52+ACP_MSME_10!C52+'ACP_Agri_9(ii)'!M52</f>
        <v>4364</v>
      </c>
      <c r="R52" s="40">
        <f>N52+I52+D52+'ACP_PS_11(i)'!N52+'ACP_PS_11(i)'!I52+'ACP_PS_11(i)'!D52+ACP_MSME_10!D52+'ACP_Agri_9(ii)'!N52</f>
        <v>17869</v>
      </c>
      <c r="S52" s="40">
        <f>O52+J52+E52+'ACP_PS_11(i)'!O52+'ACP_PS_11(i)'!J52+'ACP_PS_11(i)'!E52+ACP_MSME_10!O52+'ACP_Agri_9(ii)'!O52</f>
        <v>17968</v>
      </c>
      <c r="T52" s="40">
        <f>P52+K52+F52+'ACP_PS_11(i)'!P52+'ACP_PS_11(i)'!K52+'ACP_PS_11(i)'!F52+ACP_MSME_10!P52+'ACP_Agri_9(ii)'!P52</f>
        <v>8136</v>
      </c>
      <c r="U52" s="312">
        <f t="shared" si="2"/>
        <v>45.531367172197662</v>
      </c>
    </row>
    <row r="53" spans="1:23" ht="13" customHeight="1" x14ac:dyDescent="0.2">
      <c r="A53" s="105">
        <v>43</v>
      </c>
      <c r="B53" s="40" t="s">
        <v>308</v>
      </c>
      <c r="C53" s="206">
        <v>0</v>
      </c>
      <c r="D53" s="206">
        <v>0</v>
      </c>
      <c r="E53" s="206">
        <v>0</v>
      </c>
      <c r="F53" s="206">
        <v>0</v>
      </c>
      <c r="G53" s="312">
        <v>0</v>
      </c>
      <c r="H53" s="206">
        <v>14</v>
      </c>
      <c r="I53" s="206">
        <v>44</v>
      </c>
      <c r="J53" s="206">
        <v>0</v>
      </c>
      <c r="K53" s="206">
        <v>0</v>
      </c>
      <c r="L53" s="312">
        <f t="shared" si="1"/>
        <v>0</v>
      </c>
      <c r="M53" s="40">
        <v>1</v>
      </c>
      <c r="N53" s="40">
        <v>31</v>
      </c>
      <c r="O53" s="206">
        <v>3290</v>
      </c>
      <c r="P53" s="206">
        <v>449.04</v>
      </c>
      <c r="Q53" s="40">
        <f>M53+H53+C53+'ACP_PS_11(i)'!M53+'ACP_PS_11(i)'!H53+'ACP_PS_11(i)'!C53+ACP_MSME_10!C53+'ACP_Agri_9(ii)'!M53</f>
        <v>2845</v>
      </c>
      <c r="R53" s="40">
        <f>N53+I53+D53+'ACP_PS_11(i)'!N53+'ACP_PS_11(i)'!I53+'ACP_PS_11(i)'!D53+ACP_MSME_10!D53+'ACP_Agri_9(ii)'!N53</f>
        <v>13001</v>
      </c>
      <c r="S53" s="40">
        <f>O53+J53+E53+'ACP_PS_11(i)'!O53+'ACP_PS_11(i)'!J53+'ACP_PS_11(i)'!E53+ACP_MSME_10!O53+'ACP_Agri_9(ii)'!O53</f>
        <v>6844</v>
      </c>
      <c r="T53" s="40">
        <f>P53+K53+F53+'ACP_PS_11(i)'!P53+'ACP_PS_11(i)'!K53+'ACP_PS_11(i)'!F53+ACP_MSME_10!P53+'ACP_Agri_9(ii)'!P53</f>
        <v>1360.0700000000002</v>
      </c>
      <c r="U53" s="312">
        <f t="shared" si="2"/>
        <v>10.461272209830016</v>
      </c>
    </row>
    <row r="54" spans="1:23" ht="13" customHeight="1" x14ac:dyDescent="0.2">
      <c r="A54" s="105">
        <v>44</v>
      </c>
      <c r="B54" s="40" t="s">
        <v>300</v>
      </c>
      <c r="C54" s="40">
        <v>0</v>
      </c>
      <c r="D54" s="40">
        <v>0</v>
      </c>
      <c r="E54" s="40">
        <v>0</v>
      </c>
      <c r="F54" s="40">
        <v>0</v>
      </c>
      <c r="G54" s="312">
        <v>0</v>
      </c>
      <c r="H54" s="40">
        <v>14</v>
      </c>
      <c r="I54" s="40">
        <v>46</v>
      </c>
      <c r="J54" s="40">
        <v>0</v>
      </c>
      <c r="K54" s="40">
        <v>0</v>
      </c>
      <c r="L54" s="312">
        <f t="shared" si="1"/>
        <v>0</v>
      </c>
      <c r="M54" s="40">
        <v>0</v>
      </c>
      <c r="N54" s="40">
        <v>0</v>
      </c>
      <c r="O54" s="40">
        <v>675</v>
      </c>
      <c r="P54" s="40">
        <v>259.3</v>
      </c>
      <c r="Q54" s="40">
        <f>M54+H54+C54+'ACP_PS_11(i)'!M54+'ACP_PS_11(i)'!H54+'ACP_PS_11(i)'!C54+ACP_MSME_10!C54+'ACP_Agri_9(ii)'!M54</f>
        <v>1872</v>
      </c>
      <c r="R54" s="40">
        <f>N54+I54+D54+'ACP_PS_11(i)'!N54+'ACP_PS_11(i)'!I54+'ACP_PS_11(i)'!D54+ACP_MSME_10!D54+'ACP_Agri_9(ii)'!N54</f>
        <v>10165</v>
      </c>
      <c r="S54" s="40">
        <f>O54+J54+E54+'ACP_PS_11(i)'!O54+'ACP_PS_11(i)'!J54+'ACP_PS_11(i)'!E54+ACP_MSME_10!O54+'ACP_Agri_9(ii)'!O54</f>
        <v>2437</v>
      </c>
      <c r="T54" s="40">
        <f>P54+K54+F54+'ACP_PS_11(i)'!P54+'ACP_PS_11(i)'!K54+'ACP_PS_11(i)'!F54+ACP_MSME_10!P54+'ACP_Agri_9(ii)'!P54</f>
        <v>1158.6100000000001</v>
      </c>
      <c r="U54" s="312">
        <f t="shared" si="2"/>
        <v>11.398032464338417</v>
      </c>
    </row>
    <row r="55" spans="1:23" ht="13" customHeight="1" x14ac:dyDescent="0.2">
      <c r="A55" s="105">
        <v>45</v>
      </c>
      <c r="B55" s="40" t="s">
        <v>309</v>
      </c>
      <c r="C55" s="206">
        <v>0</v>
      </c>
      <c r="D55" s="206">
        <v>0</v>
      </c>
      <c r="E55" s="206">
        <v>0</v>
      </c>
      <c r="F55" s="206">
        <v>0</v>
      </c>
      <c r="G55" s="312">
        <v>0</v>
      </c>
      <c r="H55" s="206">
        <v>10</v>
      </c>
      <c r="I55" s="206">
        <v>30</v>
      </c>
      <c r="J55" s="206">
        <v>0</v>
      </c>
      <c r="K55" s="206">
        <v>0</v>
      </c>
      <c r="L55" s="312">
        <f t="shared" si="1"/>
        <v>0</v>
      </c>
      <c r="M55" s="40">
        <v>24</v>
      </c>
      <c r="N55" s="40">
        <v>166</v>
      </c>
      <c r="O55" s="206">
        <v>11</v>
      </c>
      <c r="P55" s="206">
        <v>156</v>
      </c>
      <c r="Q55" s="40">
        <f>M55+H55+C55+'ACP_PS_11(i)'!M55+'ACP_PS_11(i)'!H55+'ACP_PS_11(i)'!C55+ACP_MSME_10!C55+'ACP_Agri_9(ii)'!M55</f>
        <v>7719</v>
      </c>
      <c r="R55" s="40">
        <f>N55+I55+D55+'ACP_PS_11(i)'!N55+'ACP_PS_11(i)'!I55+'ACP_PS_11(i)'!D55+ACP_MSME_10!D55+'ACP_Agri_9(ii)'!N55</f>
        <v>15731</v>
      </c>
      <c r="S55" s="40">
        <f>O55+J55+E55+'ACP_PS_11(i)'!O55+'ACP_PS_11(i)'!J55+'ACP_PS_11(i)'!E55+ACP_MSME_10!O55+'ACP_Agri_9(ii)'!O55</f>
        <v>2860</v>
      </c>
      <c r="T55" s="40">
        <f>P55+K55+F55+'ACP_PS_11(i)'!P55+'ACP_PS_11(i)'!K55+'ACP_PS_11(i)'!F55+ACP_MSME_10!P55+'ACP_Agri_9(ii)'!P55</f>
        <v>1432</v>
      </c>
      <c r="U55" s="312">
        <f t="shared" si="2"/>
        <v>9.103044943105969</v>
      </c>
    </row>
    <row r="56" spans="1:23" s="43" customFormat="1" ht="13" customHeight="1" x14ac:dyDescent="0.2">
      <c r="A56" s="293"/>
      <c r="B56" s="42" t="s">
        <v>310</v>
      </c>
      <c r="C56" s="42">
        <f>SUM(C48:C55)</f>
        <v>274</v>
      </c>
      <c r="D56" s="42">
        <f t="shared" ref="D56:P56" si="8">SUM(D48:D55)</f>
        <v>894</v>
      </c>
      <c r="E56" s="42">
        <f t="shared" si="8"/>
        <v>4</v>
      </c>
      <c r="F56" s="42">
        <f t="shared" si="8"/>
        <v>22.59</v>
      </c>
      <c r="G56" s="313">
        <f t="shared" si="0"/>
        <v>2.5268456375838926</v>
      </c>
      <c r="H56" s="42">
        <f t="shared" si="8"/>
        <v>281</v>
      </c>
      <c r="I56" s="42">
        <f t="shared" si="8"/>
        <v>2041</v>
      </c>
      <c r="J56" s="42">
        <f t="shared" si="8"/>
        <v>0</v>
      </c>
      <c r="K56" s="42">
        <f t="shared" si="8"/>
        <v>0</v>
      </c>
      <c r="L56" s="313">
        <f t="shared" si="1"/>
        <v>0</v>
      </c>
      <c r="M56" s="42">
        <f t="shared" si="8"/>
        <v>42</v>
      </c>
      <c r="N56" s="42">
        <f t="shared" si="8"/>
        <v>335</v>
      </c>
      <c r="O56" s="42">
        <f t="shared" si="8"/>
        <v>97468</v>
      </c>
      <c r="P56" s="42">
        <f t="shared" si="8"/>
        <v>29445.74</v>
      </c>
      <c r="Q56" s="42">
        <f>M56+H56+C56+'ACP_PS_11(i)'!M56+'ACP_PS_11(i)'!H56+'ACP_PS_11(i)'!C56+ACP_MSME_10!C56+'ACP_Agri_9(ii)'!M56</f>
        <v>66526</v>
      </c>
      <c r="R56" s="42">
        <f>N56+I56+D56+'ACP_PS_11(i)'!N56+'ACP_PS_11(i)'!I56+'ACP_PS_11(i)'!D56+ACP_MSME_10!D56+'ACP_Agri_9(ii)'!N56</f>
        <v>220727</v>
      </c>
      <c r="S56" s="42">
        <f>O56+J56+E56+'ACP_PS_11(i)'!O56+'ACP_PS_11(i)'!J56+'ACP_PS_11(i)'!E56+ACP_MSME_10!O56+'ACP_Agri_9(ii)'!O56</f>
        <v>273608</v>
      </c>
      <c r="T56" s="42">
        <f>P56+K56+F56+'ACP_PS_11(i)'!P56+'ACP_PS_11(i)'!K56+'ACP_PS_11(i)'!F56+ACP_MSME_10!P56+'ACP_Agri_9(ii)'!P56</f>
        <v>79817.180000000008</v>
      </c>
      <c r="U56" s="313">
        <f t="shared" si="2"/>
        <v>36.161040561417501</v>
      </c>
      <c r="V56" s="305"/>
      <c r="W56" s="305"/>
    </row>
    <row r="57" spans="1:23" s="43" customFormat="1" ht="13" customHeight="1" x14ac:dyDescent="0.2">
      <c r="A57" s="42"/>
      <c r="B57" s="42" t="s">
        <v>0</v>
      </c>
      <c r="C57" s="42">
        <f>C56+C47+C45+C42</f>
        <v>19337</v>
      </c>
      <c r="D57" s="42">
        <f t="shared" ref="D57:P57" si="9">D56+D47+D45+D42</f>
        <v>70951</v>
      </c>
      <c r="E57" s="42">
        <f t="shared" si="9"/>
        <v>338</v>
      </c>
      <c r="F57" s="42">
        <f t="shared" si="9"/>
        <v>2555.0100000000002</v>
      </c>
      <c r="G57" s="313">
        <f t="shared" si="0"/>
        <v>3.6010908937153814</v>
      </c>
      <c r="H57" s="42">
        <f t="shared" si="9"/>
        <v>18400</v>
      </c>
      <c r="I57" s="42">
        <f t="shared" si="9"/>
        <v>61705</v>
      </c>
      <c r="J57" s="42">
        <f t="shared" si="9"/>
        <v>66</v>
      </c>
      <c r="K57" s="42">
        <f t="shared" si="9"/>
        <v>1643.5900000000001</v>
      </c>
      <c r="L57" s="313">
        <f t="shared" si="1"/>
        <v>2.6636253139940038</v>
      </c>
      <c r="M57" s="42">
        <f t="shared" si="9"/>
        <v>2855</v>
      </c>
      <c r="N57" s="42">
        <f t="shared" si="9"/>
        <v>20501</v>
      </c>
      <c r="O57" s="42">
        <f t="shared" si="9"/>
        <v>130447</v>
      </c>
      <c r="P57" s="42">
        <f t="shared" si="9"/>
        <v>78653.87</v>
      </c>
      <c r="Q57" s="42">
        <f>M57+H57+C57+'ACP_PS_11(i)'!M57+'ACP_PS_11(i)'!H57+'ACP_PS_11(i)'!C57+ACP_MSME_10!C57+'ACP_Agri_9(ii)'!M57</f>
        <v>7082828</v>
      </c>
      <c r="R57" s="42">
        <f>N57+I57+D57+'ACP_PS_11(i)'!N57+'ACP_PS_11(i)'!I57+'ACP_PS_11(i)'!D57+ACP_MSME_10!D57+'ACP_Agri_9(ii)'!N57</f>
        <v>19907726</v>
      </c>
      <c r="S57" s="42">
        <f>O57+J57+E57+'ACP_PS_11(i)'!O57+'ACP_PS_11(i)'!J57+'ACP_PS_11(i)'!E57+ACP_MSME_10!O57+'ACP_Agri_9(ii)'!O57</f>
        <v>2657614</v>
      </c>
      <c r="T57" s="42">
        <f>P57+K57+F57+'ACP_PS_11(i)'!P57+'ACP_PS_11(i)'!K57+'ACP_PS_11(i)'!F57+ACP_MSME_10!P57+'ACP_Agri_9(ii)'!P57</f>
        <v>4558470.0978899999</v>
      </c>
      <c r="U57" s="313">
        <f t="shared" si="2"/>
        <v>22.897994968837725</v>
      </c>
      <c r="V57" s="305"/>
      <c r="W57" s="305"/>
    </row>
    <row r="58" spans="1:23" x14ac:dyDescent="0.2">
      <c r="K58" s="46" t="s">
        <v>1081</v>
      </c>
      <c r="M58" s="46"/>
    </row>
    <row r="61" spans="1:23" x14ac:dyDescent="0.2">
      <c r="G61" s="45"/>
      <c r="L61" s="45"/>
    </row>
    <row r="62" spans="1:23" x14ac:dyDescent="0.2">
      <c r="G62" s="45"/>
      <c r="L62" s="45"/>
      <c r="S62" s="45"/>
      <c r="T62" s="45"/>
      <c r="U62" s="45"/>
    </row>
  </sheetData>
  <autoFilter ref="S5:T56" xr:uid="{00000000-0009-0000-0000-00000D000000}"/>
  <mergeCells count="18">
    <mergeCell ref="U3:U5"/>
    <mergeCell ref="C4:D4"/>
    <mergeCell ref="E4:F4"/>
    <mergeCell ref="J4:K4"/>
    <mergeCell ref="O4:P4"/>
    <mergeCell ref="Q3:T3"/>
    <mergeCell ref="Q4:R4"/>
    <mergeCell ref="G3:G5"/>
    <mergeCell ref="L3:L5"/>
    <mergeCell ref="A1:T1"/>
    <mergeCell ref="A3:A5"/>
    <mergeCell ref="B3:B5"/>
    <mergeCell ref="C3:F3"/>
    <mergeCell ref="S4:T4"/>
    <mergeCell ref="H3:K3"/>
    <mergeCell ref="H4:I4"/>
    <mergeCell ref="M3:P3"/>
    <mergeCell ref="M4:N4"/>
  </mergeCells>
  <conditionalFormatting sqref="V1:W1048576">
    <cfRule type="cellIs" dxfId="20" priority="1" operator="greaterThan">
      <formula>100</formula>
    </cfRule>
  </conditionalFormatting>
  <pageMargins left="1" right="0.2" top="0.25" bottom="0.2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Q62"/>
  <sheetViews>
    <sheetView zoomScale="90" zoomScaleNormal="90" workbookViewId="0">
      <pane xSplit="2" ySplit="5" topLeftCell="C42" activePane="bottomRight" state="frozen"/>
      <selection pane="topRight" activeCell="C1" sqref="C1"/>
      <selection pane="bottomLeft" activeCell="A7" sqref="A7"/>
      <selection pane="bottomRight" activeCell="J63" sqref="J63"/>
    </sheetView>
  </sheetViews>
  <sheetFormatPr baseColWidth="10" defaultColWidth="4.3984375" defaultRowHeight="14" x14ac:dyDescent="0.2"/>
  <cols>
    <col min="1" max="1" width="4.3984375" style="36"/>
    <col min="2" max="2" width="25" style="36" customWidth="1"/>
    <col min="3" max="3" width="11" style="45" bestFit="1" customWidth="1"/>
    <col min="4" max="4" width="9.796875" style="45" bestFit="1" customWidth="1"/>
    <col min="5" max="5" width="7" style="45" bestFit="1" customWidth="1"/>
    <col min="6" max="6" width="7.59765625" style="45" customWidth="1"/>
    <col min="7" max="7" width="6.19921875" style="45" bestFit="1" customWidth="1"/>
    <col min="8" max="8" width="7.796875" style="45" customWidth="1"/>
    <col min="9" max="9" width="7.3984375" style="45" customWidth="1"/>
    <col min="10" max="10" width="8.796875" style="45" customWidth="1"/>
    <col min="11" max="11" width="8" style="45" customWidth="1"/>
    <col min="12" max="13" width="8.796875" style="45" customWidth="1"/>
    <col min="14" max="14" width="9" style="45" customWidth="1"/>
    <col min="15" max="15" width="8.796875" style="46" bestFit="1" customWidth="1"/>
    <col min="16" max="16" width="8.59765625" style="46" customWidth="1"/>
    <col min="17" max="17" width="10.19921875" style="45" customWidth="1"/>
    <col min="18" max="16384" width="4.3984375" style="36"/>
  </cols>
  <sheetData>
    <row r="1" spans="1:17" ht="18" x14ac:dyDescent="0.2">
      <c r="A1" s="403" t="s">
        <v>1030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7" x14ac:dyDescent="0.2">
      <c r="B2" s="43" t="s">
        <v>124</v>
      </c>
      <c r="G2" s="46"/>
      <c r="H2" s="46"/>
      <c r="N2" s="45" t="s">
        <v>155</v>
      </c>
    </row>
    <row r="3" spans="1:17" ht="15" customHeight="1" x14ac:dyDescent="0.2">
      <c r="A3" s="419" t="s">
        <v>202</v>
      </c>
      <c r="B3" s="419" t="s">
        <v>203</v>
      </c>
      <c r="C3" s="419" t="s">
        <v>204</v>
      </c>
      <c r="D3" s="419"/>
      <c r="E3" s="411" t="s">
        <v>143</v>
      </c>
      <c r="F3" s="411"/>
      <c r="G3" s="411" t="s">
        <v>126</v>
      </c>
      <c r="H3" s="411"/>
      <c r="I3" s="411" t="s">
        <v>127</v>
      </c>
      <c r="J3" s="411"/>
      <c r="K3" s="411" t="s">
        <v>144</v>
      </c>
      <c r="L3" s="411"/>
      <c r="M3" s="411" t="s">
        <v>121</v>
      </c>
      <c r="N3" s="411"/>
      <c r="O3" s="411" t="s">
        <v>145</v>
      </c>
      <c r="P3" s="411"/>
      <c r="Q3" s="444" t="s">
        <v>111</v>
      </c>
    </row>
    <row r="4" spans="1:17" ht="15" customHeight="1" x14ac:dyDescent="0.2">
      <c r="A4" s="419"/>
      <c r="B4" s="419"/>
      <c r="C4" s="414" t="s">
        <v>27</v>
      </c>
      <c r="D4" s="414" t="s">
        <v>15</v>
      </c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45"/>
    </row>
    <row r="5" spans="1:17" s="61" customFormat="1" ht="15" customHeight="1" x14ac:dyDescent="0.2">
      <c r="A5" s="419"/>
      <c r="B5" s="419"/>
      <c r="C5" s="416"/>
      <c r="D5" s="416"/>
      <c r="E5" s="292" t="s">
        <v>27</v>
      </c>
      <c r="F5" s="292" t="s">
        <v>15</v>
      </c>
      <c r="G5" s="292" t="s">
        <v>27</v>
      </c>
      <c r="H5" s="292" t="s">
        <v>15</v>
      </c>
      <c r="I5" s="292" t="s">
        <v>27</v>
      </c>
      <c r="J5" s="292" t="s">
        <v>15</v>
      </c>
      <c r="K5" s="292" t="s">
        <v>27</v>
      </c>
      <c r="L5" s="292" t="s">
        <v>15</v>
      </c>
      <c r="M5" s="292" t="s">
        <v>27</v>
      </c>
      <c r="N5" s="292" t="s">
        <v>15</v>
      </c>
      <c r="O5" s="292" t="s">
        <v>27</v>
      </c>
      <c r="P5" s="292" t="s">
        <v>15</v>
      </c>
      <c r="Q5" s="446"/>
    </row>
    <row r="6" spans="1:17" ht="13" customHeight="1" x14ac:dyDescent="0.15">
      <c r="A6" s="105">
        <v>1</v>
      </c>
      <c r="B6" s="40" t="s">
        <v>51</v>
      </c>
      <c r="C6" s="290">
        <v>6073</v>
      </c>
      <c r="D6" s="290">
        <v>58911</v>
      </c>
      <c r="E6" s="290">
        <v>0</v>
      </c>
      <c r="F6" s="290">
        <v>0</v>
      </c>
      <c r="G6" s="290">
        <v>24</v>
      </c>
      <c r="H6" s="290">
        <v>196</v>
      </c>
      <c r="I6" s="290">
        <v>63</v>
      </c>
      <c r="J6" s="290">
        <v>2494</v>
      </c>
      <c r="K6" s="290">
        <v>4066</v>
      </c>
      <c r="L6" s="290">
        <v>2346</v>
      </c>
      <c r="M6" s="290">
        <v>942</v>
      </c>
      <c r="N6" s="290">
        <v>9612</v>
      </c>
      <c r="O6" s="40">
        <f>E6+G6+I6+K6+M6</f>
        <v>5095</v>
      </c>
      <c r="P6" s="40">
        <f>F6+H6+J6+L6+N6</f>
        <v>14648</v>
      </c>
      <c r="Q6" s="40">
        <f>P6*100/D6</f>
        <v>24.864626300690873</v>
      </c>
    </row>
    <row r="7" spans="1:17" ht="13" customHeight="1" x14ac:dyDescent="0.15">
      <c r="A7" s="105">
        <v>2</v>
      </c>
      <c r="B7" s="40" t="s">
        <v>52</v>
      </c>
      <c r="C7" s="290">
        <v>7642</v>
      </c>
      <c r="D7" s="290">
        <v>74230</v>
      </c>
      <c r="E7" s="290">
        <v>0</v>
      </c>
      <c r="F7" s="290">
        <v>0</v>
      </c>
      <c r="G7" s="290">
        <v>2</v>
      </c>
      <c r="H7" s="290">
        <v>22</v>
      </c>
      <c r="I7" s="290">
        <v>1350</v>
      </c>
      <c r="J7" s="290">
        <v>7656</v>
      </c>
      <c r="K7" s="290">
        <v>52</v>
      </c>
      <c r="L7" s="290">
        <v>138</v>
      </c>
      <c r="M7" s="360">
        <v>8947</v>
      </c>
      <c r="N7" s="290">
        <v>675102</v>
      </c>
      <c r="O7" s="40">
        <f t="shared" ref="O7:O57" si="0">E7+G7+I7+K7+M7</f>
        <v>10351</v>
      </c>
      <c r="P7" s="40">
        <f t="shared" ref="P7:P57" si="1">F7+H7+J7+L7+N7</f>
        <v>682918</v>
      </c>
      <c r="Q7" s="40">
        <f t="shared" ref="Q7:Q57" si="2">P7*100/D7</f>
        <v>920.00269432843868</v>
      </c>
    </row>
    <row r="8" spans="1:17" ht="13" customHeight="1" x14ac:dyDescent="0.15">
      <c r="A8" s="105">
        <v>3</v>
      </c>
      <c r="B8" s="40" t="s">
        <v>53</v>
      </c>
      <c r="C8" s="290">
        <v>3561</v>
      </c>
      <c r="D8" s="290">
        <v>33669</v>
      </c>
      <c r="E8" s="290">
        <v>0</v>
      </c>
      <c r="F8" s="290">
        <v>0</v>
      </c>
      <c r="G8" s="290">
        <v>11</v>
      </c>
      <c r="H8" s="290">
        <v>52.02</v>
      </c>
      <c r="I8" s="290">
        <v>187</v>
      </c>
      <c r="J8" s="290">
        <v>4476.55</v>
      </c>
      <c r="K8" s="290">
        <v>3</v>
      </c>
      <c r="L8" s="290">
        <v>0.5</v>
      </c>
      <c r="M8" s="290">
        <v>6968</v>
      </c>
      <c r="N8" s="290">
        <v>2514.4899999999998</v>
      </c>
      <c r="O8" s="40">
        <f t="shared" si="0"/>
        <v>7169</v>
      </c>
      <c r="P8" s="40">
        <f t="shared" si="1"/>
        <v>7043.56</v>
      </c>
      <c r="Q8" s="40">
        <f t="shared" si="2"/>
        <v>20.920015444474146</v>
      </c>
    </row>
    <row r="9" spans="1:17" ht="13" customHeight="1" x14ac:dyDescent="0.15">
      <c r="A9" s="105">
        <v>4</v>
      </c>
      <c r="B9" s="40" t="s">
        <v>54</v>
      </c>
      <c r="C9" s="290">
        <v>4659</v>
      </c>
      <c r="D9" s="290">
        <v>42430</v>
      </c>
      <c r="E9" s="290">
        <v>30</v>
      </c>
      <c r="F9" s="290">
        <v>33</v>
      </c>
      <c r="G9" s="290">
        <v>23</v>
      </c>
      <c r="H9" s="290">
        <v>138</v>
      </c>
      <c r="I9" s="290">
        <v>314</v>
      </c>
      <c r="J9" s="290">
        <v>2115</v>
      </c>
      <c r="K9" s="290">
        <v>8</v>
      </c>
      <c r="L9" s="290">
        <v>56</v>
      </c>
      <c r="M9" s="290">
        <v>4749</v>
      </c>
      <c r="N9" s="290">
        <v>43249</v>
      </c>
      <c r="O9" s="40">
        <f t="shared" si="0"/>
        <v>5124</v>
      </c>
      <c r="P9" s="40">
        <f t="shared" si="1"/>
        <v>45591</v>
      </c>
      <c r="Q9" s="40">
        <f t="shared" si="2"/>
        <v>107.44991751119491</v>
      </c>
    </row>
    <row r="10" spans="1:17" ht="13" customHeight="1" x14ac:dyDescent="0.15">
      <c r="A10" s="105">
        <v>5</v>
      </c>
      <c r="B10" s="40" t="s">
        <v>55</v>
      </c>
      <c r="C10" s="290">
        <v>14502</v>
      </c>
      <c r="D10" s="290">
        <v>151218</v>
      </c>
      <c r="E10" s="290">
        <v>0</v>
      </c>
      <c r="F10" s="290">
        <v>0</v>
      </c>
      <c r="G10" s="290">
        <v>7</v>
      </c>
      <c r="H10" s="290">
        <v>83</v>
      </c>
      <c r="I10" s="290">
        <v>30</v>
      </c>
      <c r="J10" s="290">
        <v>148</v>
      </c>
      <c r="K10" s="290">
        <v>3696</v>
      </c>
      <c r="L10" s="290">
        <v>10878</v>
      </c>
      <c r="M10" s="290">
        <v>20844</v>
      </c>
      <c r="N10" s="290">
        <v>72918</v>
      </c>
      <c r="O10" s="40">
        <f t="shared" si="0"/>
        <v>24577</v>
      </c>
      <c r="P10" s="40">
        <f t="shared" si="1"/>
        <v>84027</v>
      </c>
      <c r="Q10" s="40">
        <f t="shared" si="2"/>
        <v>55.566797603459904</v>
      </c>
    </row>
    <row r="11" spans="1:17" ht="13" customHeight="1" x14ac:dyDescent="0.15">
      <c r="A11" s="105">
        <v>6</v>
      </c>
      <c r="B11" s="40" t="s">
        <v>56</v>
      </c>
      <c r="C11" s="290">
        <v>6982</v>
      </c>
      <c r="D11" s="290">
        <v>51407</v>
      </c>
      <c r="E11" s="290">
        <v>0</v>
      </c>
      <c r="F11" s="290">
        <v>0</v>
      </c>
      <c r="G11" s="290">
        <v>2</v>
      </c>
      <c r="H11" s="290">
        <v>20</v>
      </c>
      <c r="I11" s="290">
        <v>10</v>
      </c>
      <c r="J11" s="290">
        <v>125</v>
      </c>
      <c r="K11" s="290">
        <v>247</v>
      </c>
      <c r="L11" s="290">
        <v>494</v>
      </c>
      <c r="M11" s="290">
        <v>1</v>
      </c>
      <c r="N11" s="290">
        <v>50000</v>
      </c>
      <c r="O11" s="40">
        <f t="shared" si="0"/>
        <v>260</v>
      </c>
      <c r="P11" s="40">
        <f t="shared" si="1"/>
        <v>50639</v>
      </c>
      <c r="Q11" s="40">
        <f t="shared" si="2"/>
        <v>98.506040033458476</v>
      </c>
    </row>
    <row r="12" spans="1:17" ht="13" customHeight="1" x14ac:dyDescent="0.15">
      <c r="A12" s="105">
        <v>7</v>
      </c>
      <c r="B12" s="40" t="s">
        <v>57</v>
      </c>
      <c r="C12" s="290">
        <v>916</v>
      </c>
      <c r="D12" s="290">
        <v>7966</v>
      </c>
      <c r="E12" s="290">
        <v>0</v>
      </c>
      <c r="F12" s="290">
        <v>0</v>
      </c>
      <c r="G12" s="290">
        <v>0</v>
      </c>
      <c r="H12" s="290">
        <v>0</v>
      </c>
      <c r="I12" s="290">
        <v>0</v>
      </c>
      <c r="J12" s="290">
        <v>0</v>
      </c>
      <c r="K12" s="290">
        <v>11</v>
      </c>
      <c r="L12" s="290">
        <v>29</v>
      </c>
      <c r="M12" s="290">
        <v>612</v>
      </c>
      <c r="N12" s="290">
        <v>6822</v>
      </c>
      <c r="O12" s="40">
        <f t="shared" si="0"/>
        <v>623</v>
      </c>
      <c r="P12" s="40">
        <f t="shared" si="1"/>
        <v>6851</v>
      </c>
      <c r="Q12" s="40">
        <f t="shared" si="2"/>
        <v>86.003012804418773</v>
      </c>
    </row>
    <row r="13" spans="1:17" ht="13" customHeight="1" x14ac:dyDescent="0.15">
      <c r="A13" s="105">
        <v>8</v>
      </c>
      <c r="B13" s="40" t="s">
        <v>178</v>
      </c>
      <c r="C13" s="290">
        <v>847</v>
      </c>
      <c r="D13" s="290">
        <v>7477</v>
      </c>
      <c r="E13" s="290">
        <v>0</v>
      </c>
      <c r="F13" s="290">
        <v>0</v>
      </c>
      <c r="G13" s="290">
        <v>0</v>
      </c>
      <c r="H13" s="290">
        <v>0</v>
      </c>
      <c r="I13" s="290">
        <v>1</v>
      </c>
      <c r="J13" s="290">
        <v>98</v>
      </c>
      <c r="K13" s="290">
        <v>3</v>
      </c>
      <c r="L13" s="290">
        <v>6</v>
      </c>
      <c r="M13" s="290">
        <v>51</v>
      </c>
      <c r="N13" s="290">
        <v>233</v>
      </c>
      <c r="O13" s="40">
        <f t="shared" si="0"/>
        <v>55</v>
      </c>
      <c r="P13" s="40">
        <f t="shared" si="1"/>
        <v>337</v>
      </c>
      <c r="Q13" s="40">
        <f t="shared" si="2"/>
        <v>4.5071552761802858</v>
      </c>
    </row>
    <row r="14" spans="1:17" x14ac:dyDescent="0.15">
      <c r="A14" s="105">
        <v>9</v>
      </c>
      <c r="B14" s="40" t="s">
        <v>58</v>
      </c>
      <c r="C14" s="290">
        <v>8873</v>
      </c>
      <c r="D14" s="290">
        <v>81999</v>
      </c>
      <c r="E14" s="290">
        <v>2</v>
      </c>
      <c r="F14" s="290">
        <v>300.5</v>
      </c>
      <c r="G14" s="290">
        <v>8</v>
      </c>
      <c r="H14" s="290">
        <v>65.33</v>
      </c>
      <c r="I14" s="290">
        <v>254</v>
      </c>
      <c r="J14" s="290">
        <v>2448.09</v>
      </c>
      <c r="K14" s="290">
        <v>425</v>
      </c>
      <c r="L14" s="290">
        <v>1269.58</v>
      </c>
      <c r="M14" s="290">
        <v>1042</v>
      </c>
      <c r="N14" s="290">
        <v>1094853.8799999999</v>
      </c>
      <c r="O14" s="40">
        <f t="shared" si="0"/>
        <v>1731</v>
      </c>
      <c r="P14" s="40">
        <f t="shared" si="1"/>
        <v>1098937.3799999999</v>
      </c>
      <c r="Q14" s="40">
        <f t="shared" si="2"/>
        <v>1340.183880291223</v>
      </c>
    </row>
    <row r="15" spans="1:17" ht="13" customHeight="1" x14ac:dyDescent="0.15">
      <c r="A15" s="105">
        <v>10</v>
      </c>
      <c r="B15" s="40" t="s">
        <v>64</v>
      </c>
      <c r="C15" s="290">
        <v>40510</v>
      </c>
      <c r="D15" s="290">
        <v>408753</v>
      </c>
      <c r="E15" s="290">
        <v>74</v>
      </c>
      <c r="F15" s="290">
        <v>2565</v>
      </c>
      <c r="G15" s="290">
        <v>0</v>
      </c>
      <c r="H15" s="290">
        <v>0</v>
      </c>
      <c r="I15" s="290">
        <v>3013</v>
      </c>
      <c r="J15" s="290">
        <v>10549</v>
      </c>
      <c r="K15" s="290">
        <v>5521</v>
      </c>
      <c r="L15" s="290">
        <v>15523</v>
      </c>
      <c r="M15" s="290">
        <v>18816</v>
      </c>
      <c r="N15" s="290">
        <v>684063</v>
      </c>
      <c r="O15" s="40">
        <f t="shared" si="0"/>
        <v>27424</v>
      </c>
      <c r="P15" s="40">
        <f t="shared" si="1"/>
        <v>712700</v>
      </c>
      <c r="Q15" s="40">
        <f t="shared" si="2"/>
        <v>174.3595765657989</v>
      </c>
    </row>
    <row r="16" spans="1:17" ht="13" customHeight="1" x14ac:dyDescent="0.15">
      <c r="A16" s="105">
        <v>11</v>
      </c>
      <c r="B16" s="40" t="s">
        <v>179</v>
      </c>
      <c r="C16" s="290">
        <v>3535</v>
      </c>
      <c r="D16" s="290">
        <v>34916</v>
      </c>
      <c r="E16" s="290">
        <v>0</v>
      </c>
      <c r="F16" s="290">
        <v>0</v>
      </c>
      <c r="G16" s="290">
        <v>4</v>
      </c>
      <c r="H16" s="290">
        <v>21</v>
      </c>
      <c r="I16" s="290">
        <v>59</v>
      </c>
      <c r="J16" s="290">
        <v>915</v>
      </c>
      <c r="K16" s="290">
        <v>28</v>
      </c>
      <c r="L16" s="290">
        <v>56</v>
      </c>
      <c r="M16" s="290">
        <v>493</v>
      </c>
      <c r="N16" s="290">
        <v>3217</v>
      </c>
      <c r="O16" s="40">
        <f t="shared" si="0"/>
        <v>584</v>
      </c>
      <c r="P16" s="40">
        <f t="shared" si="1"/>
        <v>4209</v>
      </c>
      <c r="Q16" s="40">
        <f t="shared" si="2"/>
        <v>12.054645434757704</v>
      </c>
    </row>
    <row r="17" spans="1:17" ht="13" customHeight="1" x14ac:dyDescent="0.15">
      <c r="A17" s="105">
        <v>12</v>
      </c>
      <c r="B17" s="40" t="s">
        <v>60</v>
      </c>
      <c r="C17" s="290">
        <v>18033</v>
      </c>
      <c r="D17" s="290">
        <v>78672</v>
      </c>
      <c r="E17" s="290">
        <v>0</v>
      </c>
      <c r="F17" s="290">
        <v>0</v>
      </c>
      <c r="G17" s="290">
        <v>55</v>
      </c>
      <c r="H17" s="290">
        <v>234</v>
      </c>
      <c r="I17" s="290">
        <v>298</v>
      </c>
      <c r="J17" s="290">
        <v>2789</v>
      </c>
      <c r="K17" s="290">
        <v>1925</v>
      </c>
      <c r="L17" s="290">
        <v>11688</v>
      </c>
      <c r="M17" s="290">
        <v>3083</v>
      </c>
      <c r="N17" s="290">
        <v>94264</v>
      </c>
      <c r="O17" s="40">
        <f t="shared" si="0"/>
        <v>5361</v>
      </c>
      <c r="P17" s="40">
        <f t="shared" si="1"/>
        <v>108975</v>
      </c>
      <c r="Q17" s="40">
        <f t="shared" si="2"/>
        <v>138.51815131177548</v>
      </c>
    </row>
    <row r="18" spans="1:17" s="43" customFormat="1" ht="13" customHeight="1" x14ac:dyDescent="0.15">
      <c r="A18" s="293"/>
      <c r="B18" s="42" t="s">
        <v>215</v>
      </c>
      <c r="C18" s="359">
        <f t="shared" ref="C18:N18" si="3">SUM(C6:C17)</f>
        <v>116133</v>
      </c>
      <c r="D18" s="359">
        <f t="shared" si="3"/>
        <v>1031648</v>
      </c>
      <c r="E18" s="359">
        <f t="shared" si="3"/>
        <v>106</v>
      </c>
      <c r="F18" s="359">
        <f t="shared" si="3"/>
        <v>2898.5</v>
      </c>
      <c r="G18" s="359">
        <f t="shared" si="3"/>
        <v>136</v>
      </c>
      <c r="H18" s="359">
        <f t="shared" si="3"/>
        <v>831.35</v>
      </c>
      <c r="I18" s="359">
        <f t="shared" si="3"/>
        <v>5579</v>
      </c>
      <c r="J18" s="359">
        <f t="shared" si="3"/>
        <v>33813.64</v>
      </c>
      <c r="K18" s="359">
        <f t="shared" si="3"/>
        <v>15985</v>
      </c>
      <c r="L18" s="359">
        <f t="shared" si="3"/>
        <v>42484.08</v>
      </c>
      <c r="M18" s="359">
        <f t="shared" si="3"/>
        <v>66548</v>
      </c>
      <c r="N18" s="359">
        <f t="shared" si="3"/>
        <v>2736848.37</v>
      </c>
      <c r="O18" s="42">
        <f t="shared" si="0"/>
        <v>88354</v>
      </c>
      <c r="P18" s="42">
        <f t="shared" si="1"/>
        <v>2816875.94</v>
      </c>
      <c r="Q18" s="42">
        <f t="shared" si="2"/>
        <v>273.04622700766151</v>
      </c>
    </row>
    <row r="19" spans="1:17" ht="13" customHeight="1" x14ac:dyDescent="0.15">
      <c r="A19" s="105">
        <v>13</v>
      </c>
      <c r="B19" s="40" t="s">
        <v>41</v>
      </c>
      <c r="C19" s="290">
        <v>2780</v>
      </c>
      <c r="D19" s="290">
        <v>25826</v>
      </c>
      <c r="E19" s="290">
        <v>15</v>
      </c>
      <c r="F19" s="290">
        <v>639.85</v>
      </c>
      <c r="G19" s="290">
        <v>0</v>
      </c>
      <c r="H19" s="290">
        <v>0</v>
      </c>
      <c r="I19" s="290">
        <v>0</v>
      </c>
      <c r="J19" s="290">
        <v>0</v>
      </c>
      <c r="K19" s="290">
        <v>295</v>
      </c>
      <c r="L19" s="290">
        <v>2973.63</v>
      </c>
      <c r="M19" s="290">
        <v>5334</v>
      </c>
      <c r="N19" s="290">
        <v>21777.01</v>
      </c>
      <c r="O19" s="40">
        <f t="shared" si="0"/>
        <v>5644</v>
      </c>
      <c r="P19" s="40">
        <f t="shared" si="1"/>
        <v>25390.489999999998</v>
      </c>
      <c r="Q19" s="40">
        <f t="shared" si="2"/>
        <v>98.313676140323707</v>
      </c>
    </row>
    <row r="20" spans="1:17" ht="13" customHeight="1" x14ac:dyDescent="0.15">
      <c r="A20" s="105">
        <v>14</v>
      </c>
      <c r="B20" s="40" t="s">
        <v>180</v>
      </c>
      <c r="C20" s="290">
        <v>243</v>
      </c>
      <c r="D20" s="290">
        <v>2671</v>
      </c>
      <c r="E20" s="290">
        <v>0</v>
      </c>
      <c r="F20" s="290">
        <v>0</v>
      </c>
      <c r="G20" s="290">
        <v>0</v>
      </c>
      <c r="H20" s="290">
        <v>0</v>
      </c>
      <c r="I20" s="290">
        <v>0</v>
      </c>
      <c r="J20" s="290">
        <v>0</v>
      </c>
      <c r="K20" s="290">
        <v>0</v>
      </c>
      <c r="L20" s="290">
        <v>0</v>
      </c>
      <c r="M20" s="290">
        <v>1000</v>
      </c>
      <c r="N20" s="290">
        <v>4256.5</v>
      </c>
      <c r="O20" s="40">
        <f t="shared" si="0"/>
        <v>1000</v>
      </c>
      <c r="P20" s="40">
        <f t="shared" si="1"/>
        <v>4256.5</v>
      </c>
      <c r="Q20" s="40">
        <f t="shared" si="2"/>
        <v>159.35979034069638</v>
      </c>
    </row>
    <row r="21" spans="1:17" ht="13" customHeight="1" x14ac:dyDescent="0.15">
      <c r="A21" s="105">
        <v>15</v>
      </c>
      <c r="B21" s="40" t="s">
        <v>181</v>
      </c>
      <c r="C21" s="290">
        <v>0</v>
      </c>
      <c r="D21" s="290">
        <v>0</v>
      </c>
      <c r="E21" s="290">
        <v>0</v>
      </c>
      <c r="F21" s="290">
        <v>0</v>
      </c>
      <c r="G21" s="290">
        <v>0</v>
      </c>
      <c r="H21" s="290">
        <v>0</v>
      </c>
      <c r="I21" s="290">
        <v>0</v>
      </c>
      <c r="J21" s="290">
        <v>0</v>
      </c>
      <c r="K21" s="290">
        <v>0</v>
      </c>
      <c r="L21" s="290">
        <v>0</v>
      </c>
      <c r="M21" s="290">
        <v>0</v>
      </c>
      <c r="N21" s="290">
        <v>0</v>
      </c>
      <c r="O21" s="40">
        <f t="shared" si="0"/>
        <v>0</v>
      </c>
      <c r="P21" s="40">
        <f t="shared" si="1"/>
        <v>0</v>
      </c>
      <c r="Q21" s="40">
        <v>0</v>
      </c>
    </row>
    <row r="22" spans="1:17" ht="13" customHeight="1" x14ac:dyDescent="0.15">
      <c r="A22" s="105">
        <v>16</v>
      </c>
      <c r="B22" s="40" t="s">
        <v>45</v>
      </c>
      <c r="C22" s="290">
        <v>18</v>
      </c>
      <c r="D22" s="290">
        <v>177</v>
      </c>
      <c r="E22" s="290">
        <v>0</v>
      </c>
      <c r="F22" s="290">
        <v>0</v>
      </c>
      <c r="G22" s="290">
        <v>0</v>
      </c>
      <c r="H22" s="290">
        <v>0</v>
      </c>
      <c r="I22" s="290">
        <v>0</v>
      </c>
      <c r="J22" s="290">
        <v>0</v>
      </c>
      <c r="K22" s="290">
        <v>39</v>
      </c>
      <c r="L22" s="290">
        <v>34.69</v>
      </c>
      <c r="M22" s="290">
        <v>0</v>
      </c>
      <c r="N22" s="290">
        <v>0</v>
      </c>
      <c r="O22" s="40">
        <f t="shared" si="0"/>
        <v>39</v>
      </c>
      <c r="P22" s="40">
        <f t="shared" si="1"/>
        <v>34.69</v>
      </c>
      <c r="Q22" s="40">
        <f t="shared" si="2"/>
        <v>19.598870056497177</v>
      </c>
    </row>
    <row r="23" spans="1:17" ht="13" customHeight="1" x14ac:dyDescent="0.15">
      <c r="A23" s="105">
        <v>17</v>
      </c>
      <c r="B23" s="40" t="s">
        <v>182</v>
      </c>
      <c r="C23" s="290">
        <v>493</v>
      </c>
      <c r="D23" s="290">
        <v>5176</v>
      </c>
      <c r="E23" s="290">
        <v>63</v>
      </c>
      <c r="F23" s="290">
        <v>92</v>
      </c>
      <c r="G23" s="290">
        <v>2</v>
      </c>
      <c r="H23" s="290">
        <v>1</v>
      </c>
      <c r="I23" s="290">
        <v>2</v>
      </c>
      <c r="J23" s="290">
        <v>41</v>
      </c>
      <c r="K23" s="290">
        <v>0</v>
      </c>
      <c r="L23" s="290">
        <v>0</v>
      </c>
      <c r="M23" s="290">
        <v>2004</v>
      </c>
      <c r="N23" s="290">
        <v>1655</v>
      </c>
      <c r="O23" s="40">
        <f t="shared" si="0"/>
        <v>2071</v>
      </c>
      <c r="P23" s="40">
        <f t="shared" si="1"/>
        <v>1789</v>
      </c>
      <c r="Q23" s="40">
        <f t="shared" si="2"/>
        <v>34.563369397217926</v>
      </c>
    </row>
    <row r="24" spans="1:17" s="43" customFormat="1" ht="13" customHeight="1" x14ac:dyDescent="0.15">
      <c r="A24" s="105">
        <v>18</v>
      </c>
      <c r="B24" s="40" t="s">
        <v>183</v>
      </c>
      <c r="C24" s="290">
        <v>28</v>
      </c>
      <c r="D24" s="290">
        <v>283</v>
      </c>
      <c r="E24" s="290">
        <v>0</v>
      </c>
      <c r="F24" s="290">
        <v>0</v>
      </c>
      <c r="G24" s="290">
        <v>0</v>
      </c>
      <c r="H24" s="290">
        <v>0</v>
      </c>
      <c r="I24" s="290">
        <v>0</v>
      </c>
      <c r="J24" s="290">
        <v>0</v>
      </c>
      <c r="K24" s="290">
        <v>0</v>
      </c>
      <c r="L24" s="290">
        <v>0</v>
      </c>
      <c r="M24" s="290">
        <v>182</v>
      </c>
      <c r="N24" s="290">
        <v>407.84</v>
      </c>
      <c r="O24" s="40">
        <f t="shared" si="0"/>
        <v>182</v>
      </c>
      <c r="P24" s="40">
        <f t="shared" si="1"/>
        <v>407.84</v>
      </c>
      <c r="Q24" s="40">
        <f t="shared" si="2"/>
        <v>144.113074204947</v>
      </c>
    </row>
    <row r="25" spans="1:17" ht="13" customHeight="1" x14ac:dyDescent="0.15">
      <c r="A25" s="105">
        <v>19</v>
      </c>
      <c r="B25" s="40" t="s">
        <v>184</v>
      </c>
      <c r="C25" s="290">
        <v>120</v>
      </c>
      <c r="D25" s="290">
        <v>1114</v>
      </c>
      <c r="E25" s="290">
        <v>0</v>
      </c>
      <c r="F25" s="290">
        <v>0</v>
      </c>
      <c r="G25" s="290">
        <v>1</v>
      </c>
      <c r="H25" s="290">
        <v>1</v>
      </c>
      <c r="I25" s="290">
        <v>133</v>
      </c>
      <c r="J25" s="290">
        <v>3265</v>
      </c>
      <c r="K25" s="290">
        <v>660</v>
      </c>
      <c r="L25" s="290">
        <v>902</v>
      </c>
      <c r="M25" s="290">
        <v>5167</v>
      </c>
      <c r="N25" s="290">
        <v>23628</v>
      </c>
      <c r="O25" s="40">
        <f t="shared" si="0"/>
        <v>5961</v>
      </c>
      <c r="P25" s="40">
        <f t="shared" si="1"/>
        <v>27796</v>
      </c>
      <c r="Q25" s="40">
        <f t="shared" si="2"/>
        <v>2495.1526032315978</v>
      </c>
    </row>
    <row r="26" spans="1:17" ht="13" customHeight="1" x14ac:dyDescent="0.15">
      <c r="A26" s="105">
        <v>20</v>
      </c>
      <c r="B26" s="40" t="s">
        <v>65</v>
      </c>
      <c r="C26" s="290">
        <v>7761</v>
      </c>
      <c r="D26" s="290">
        <v>70752</v>
      </c>
      <c r="E26" s="290">
        <v>0</v>
      </c>
      <c r="F26" s="290">
        <v>0</v>
      </c>
      <c r="G26" s="290">
        <v>7</v>
      </c>
      <c r="H26" s="290">
        <v>15.83</v>
      </c>
      <c r="I26" s="290">
        <v>0</v>
      </c>
      <c r="J26" s="290">
        <v>0</v>
      </c>
      <c r="K26" s="290">
        <v>5324</v>
      </c>
      <c r="L26" s="290">
        <v>20925.580000000002</v>
      </c>
      <c r="M26" s="290">
        <v>12244</v>
      </c>
      <c r="N26" s="290">
        <v>214418.8</v>
      </c>
      <c r="O26" s="40">
        <f t="shared" si="0"/>
        <v>17575</v>
      </c>
      <c r="P26" s="40">
        <f t="shared" si="1"/>
        <v>235360.21</v>
      </c>
      <c r="Q26" s="40">
        <f t="shared" si="2"/>
        <v>332.65520409317054</v>
      </c>
    </row>
    <row r="27" spans="1:17" ht="13" customHeight="1" x14ac:dyDescent="0.15">
      <c r="A27" s="105">
        <v>21</v>
      </c>
      <c r="B27" s="40" t="s">
        <v>66</v>
      </c>
      <c r="C27" s="290">
        <v>6877</v>
      </c>
      <c r="D27" s="290">
        <v>62290</v>
      </c>
      <c r="E27" s="290">
        <v>0</v>
      </c>
      <c r="F27" s="290">
        <v>0</v>
      </c>
      <c r="G27" s="290">
        <v>1</v>
      </c>
      <c r="H27" s="290">
        <v>19</v>
      </c>
      <c r="I27" s="290">
        <v>429</v>
      </c>
      <c r="J27" s="290">
        <v>14489</v>
      </c>
      <c r="K27" s="290">
        <v>0</v>
      </c>
      <c r="L27" s="290">
        <v>0</v>
      </c>
      <c r="M27" s="290">
        <v>149719</v>
      </c>
      <c r="N27" s="290">
        <v>389475</v>
      </c>
      <c r="O27" s="40">
        <f t="shared" si="0"/>
        <v>150149</v>
      </c>
      <c r="P27" s="40">
        <f t="shared" si="1"/>
        <v>403983</v>
      </c>
      <c r="Q27" s="40">
        <f t="shared" si="2"/>
        <v>648.55193449991975</v>
      </c>
    </row>
    <row r="28" spans="1:17" ht="13" customHeight="1" x14ac:dyDescent="0.15">
      <c r="A28" s="105">
        <v>22</v>
      </c>
      <c r="B28" s="40" t="s">
        <v>75</v>
      </c>
      <c r="C28" s="290">
        <v>2133</v>
      </c>
      <c r="D28" s="290">
        <v>17073</v>
      </c>
      <c r="E28" s="290">
        <v>0</v>
      </c>
      <c r="F28" s="290">
        <v>0</v>
      </c>
      <c r="G28" s="290">
        <v>10</v>
      </c>
      <c r="H28" s="290">
        <v>31.7</v>
      </c>
      <c r="I28" s="290">
        <v>151</v>
      </c>
      <c r="J28" s="290">
        <v>842</v>
      </c>
      <c r="K28" s="290">
        <v>264</v>
      </c>
      <c r="L28" s="290">
        <v>937</v>
      </c>
      <c r="M28" s="290">
        <v>847</v>
      </c>
      <c r="N28" s="290">
        <v>26721</v>
      </c>
      <c r="O28" s="40">
        <f t="shared" si="0"/>
        <v>1272</v>
      </c>
      <c r="P28" s="40">
        <f t="shared" si="1"/>
        <v>28531.7</v>
      </c>
      <c r="Q28" s="40">
        <f t="shared" si="2"/>
        <v>167.11591401628303</v>
      </c>
    </row>
    <row r="29" spans="1:17" ht="13" customHeight="1" x14ac:dyDescent="0.15">
      <c r="A29" s="105">
        <v>23</v>
      </c>
      <c r="B29" s="40" t="s">
        <v>379</v>
      </c>
      <c r="C29" s="290">
        <v>432</v>
      </c>
      <c r="D29" s="290">
        <v>3644</v>
      </c>
      <c r="E29" s="290">
        <v>0</v>
      </c>
      <c r="F29" s="290">
        <v>0</v>
      </c>
      <c r="G29" s="290">
        <v>0</v>
      </c>
      <c r="H29" s="290">
        <v>0</v>
      </c>
      <c r="I29" s="290">
        <v>0</v>
      </c>
      <c r="J29" s="290">
        <v>0</v>
      </c>
      <c r="K29" s="290">
        <v>0</v>
      </c>
      <c r="L29" s="290">
        <v>0</v>
      </c>
      <c r="M29" s="290">
        <v>12610</v>
      </c>
      <c r="N29" s="290">
        <v>16625</v>
      </c>
      <c r="O29" s="40">
        <f t="shared" si="0"/>
        <v>12610</v>
      </c>
      <c r="P29" s="40">
        <f t="shared" si="1"/>
        <v>16625</v>
      </c>
      <c r="Q29" s="40">
        <f t="shared" si="2"/>
        <v>456.22941822173436</v>
      </c>
    </row>
    <row r="30" spans="1:17" ht="12.75" customHeight="1" x14ac:dyDescent="0.15">
      <c r="A30" s="105">
        <v>24</v>
      </c>
      <c r="B30" s="40" t="s">
        <v>185</v>
      </c>
      <c r="C30" s="290">
        <v>569</v>
      </c>
      <c r="D30" s="290">
        <v>6109</v>
      </c>
      <c r="E30" s="290">
        <v>0</v>
      </c>
      <c r="F30" s="290">
        <v>0</v>
      </c>
      <c r="G30" s="290">
        <v>0</v>
      </c>
      <c r="H30" s="290">
        <v>0</v>
      </c>
      <c r="I30" s="290">
        <v>7</v>
      </c>
      <c r="J30" s="290">
        <v>29</v>
      </c>
      <c r="K30" s="290">
        <v>0</v>
      </c>
      <c r="L30" s="290">
        <v>0</v>
      </c>
      <c r="M30" s="290">
        <v>41820</v>
      </c>
      <c r="N30" s="290">
        <v>195920</v>
      </c>
      <c r="O30" s="40">
        <f t="shared" si="0"/>
        <v>41827</v>
      </c>
      <c r="P30" s="40">
        <f t="shared" si="1"/>
        <v>195949</v>
      </c>
      <c r="Q30" s="40">
        <f t="shared" si="2"/>
        <v>3207.5462432476675</v>
      </c>
    </row>
    <row r="31" spans="1:17" ht="13" customHeight="1" x14ac:dyDescent="0.15">
      <c r="A31" s="105">
        <v>25</v>
      </c>
      <c r="B31" s="40" t="s">
        <v>186</v>
      </c>
      <c r="C31" s="290">
        <v>25</v>
      </c>
      <c r="D31" s="290">
        <v>230</v>
      </c>
      <c r="E31" s="290">
        <v>0</v>
      </c>
      <c r="F31" s="290">
        <v>0</v>
      </c>
      <c r="G31" s="290">
        <v>0</v>
      </c>
      <c r="H31" s="290">
        <v>0</v>
      </c>
      <c r="I31" s="290">
        <v>15</v>
      </c>
      <c r="J31" s="290">
        <v>370</v>
      </c>
      <c r="K31" s="290">
        <v>360</v>
      </c>
      <c r="L31" s="290">
        <v>725</v>
      </c>
      <c r="M31" s="290">
        <v>60</v>
      </c>
      <c r="N31" s="290">
        <v>517</v>
      </c>
      <c r="O31" s="40">
        <f t="shared" si="0"/>
        <v>435</v>
      </c>
      <c r="P31" s="40">
        <f t="shared" si="1"/>
        <v>1612</v>
      </c>
      <c r="Q31" s="40">
        <f t="shared" si="2"/>
        <v>700.86956521739125</v>
      </c>
    </row>
    <row r="32" spans="1:17" ht="13" customHeight="1" x14ac:dyDescent="0.15">
      <c r="A32" s="105">
        <v>26</v>
      </c>
      <c r="B32" s="40" t="s">
        <v>187</v>
      </c>
      <c r="C32" s="290">
        <v>43</v>
      </c>
      <c r="D32" s="290">
        <v>443</v>
      </c>
      <c r="E32" s="290">
        <v>3</v>
      </c>
      <c r="F32" s="290">
        <v>225.8</v>
      </c>
      <c r="G32" s="290">
        <v>0</v>
      </c>
      <c r="H32" s="290">
        <v>0</v>
      </c>
      <c r="I32" s="290">
        <v>112</v>
      </c>
      <c r="J32" s="290">
        <v>2183.94</v>
      </c>
      <c r="K32" s="290">
        <v>180</v>
      </c>
      <c r="L32" s="290">
        <v>1069.9000000000001</v>
      </c>
      <c r="M32" s="290">
        <v>0</v>
      </c>
      <c r="N32" s="290">
        <v>0</v>
      </c>
      <c r="O32" s="40">
        <f t="shared" si="0"/>
        <v>295</v>
      </c>
      <c r="P32" s="40">
        <f t="shared" si="1"/>
        <v>3479.6400000000003</v>
      </c>
      <c r="Q32" s="40">
        <f t="shared" si="2"/>
        <v>785.47178329571125</v>
      </c>
    </row>
    <row r="33" spans="1:17" ht="13" customHeight="1" x14ac:dyDescent="0.15">
      <c r="A33" s="105">
        <v>27</v>
      </c>
      <c r="B33" s="40" t="s">
        <v>188</v>
      </c>
      <c r="C33" s="290">
        <v>86</v>
      </c>
      <c r="D33" s="290">
        <v>765</v>
      </c>
      <c r="E33" s="290">
        <v>0</v>
      </c>
      <c r="F33" s="290">
        <v>0</v>
      </c>
      <c r="G33" s="290">
        <v>0</v>
      </c>
      <c r="H33" s="290">
        <v>0</v>
      </c>
      <c r="I33" s="290">
        <v>0</v>
      </c>
      <c r="J33" s="290">
        <v>0</v>
      </c>
      <c r="K33" s="290">
        <v>0</v>
      </c>
      <c r="L33" s="290">
        <v>0</v>
      </c>
      <c r="M33" s="290">
        <v>0</v>
      </c>
      <c r="N33" s="290">
        <v>0</v>
      </c>
      <c r="O33" s="40">
        <f t="shared" si="0"/>
        <v>0</v>
      </c>
      <c r="P33" s="40">
        <f t="shared" si="1"/>
        <v>0</v>
      </c>
      <c r="Q33" s="40">
        <f t="shared" si="2"/>
        <v>0</v>
      </c>
    </row>
    <row r="34" spans="1:17" ht="13" customHeight="1" x14ac:dyDescent="0.15">
      <c r="A34" s="105">
        <v>28</v>
      </c>
      <c r="B34" s="40" t="s">
        <v>67</v>
      </c>
      <c r="C34" s="290">
        <v>424</v>
      </c>
      <c r="D34" s="290">
        <v>4334</v>
      </c>
      <c r="E34" s="290">
        <v>0</v>
      </c>
      <c r="F34" s="290">
        <v>0</v>
      </c>
      <c r="G34" s="290">
        <v>0</v>
      </c>
      <c r="H34" s="290">
        <v>0</v>
      </c>
      <c r="I34" s="290">
        <v>0</v>
      </c>
      <c r="J34" s="290">
        <v>0</v>
      </c>
      <c r="K34" s="290">
        <v>0</v>
      </c>
      <c r="L34" s="290">
        <v>0</v>
      </c>
      <c r="M34" s="290">
        <v>1353</v>
      </c>
      <c r="N34" s="290">
        <v>29272.18</v>
      </c>
      <c r="O34" s="40">
        <f t="shared" si="0"/>
        <v>1353</v>
      </c>
      <c r="P34" s="40">
        <f t="shared" si="1"/>
        <v>29272.18</v>
      </c>
      <c r="Q34" s="40">
        <f t="shared" si="2"/>
        <v>675.40793724042453</v>
      </c>
    </row>
    <row r="35" spans="1:17" ht="13" customHeight="1" x14ac:dyDescent="0.15">
      <c r="A35" s="105">
        <v>29</v>
      </c>
      <c r="B35" s="40" t="s">
        <v>189</v>
      </c>
      <c r="C35" s="290">
        <v>41</v>
      </c>
      <c r="D35" s="290">
        <v>367</v>
      </c>
      <c r="E35" s="290">
        <v>0</v>
      </c>
      <c r="F35" s="290">
        <v>0</v>
      </c>
      <c r="G35" s="290">
        <v>0</v>
      </c>
      <c r="H35" s="290">
        <v>0</v>
      </c>
      <c r="I35" s="290">
        <v>7</v>
      </c>
      <c r="J35" s="290">
        <v>34</v>
      </c>
      <c r="K35" s="290">
        <v>0</v>
      </c>
      <c r="L35" s="290">
        <v>0</v>
      </c>
      <c r="M35" s="290">
        <v>24</v>
      </c>
      <c r="N35" s="290">
        <v>454</v>
      </c>
      <c r="O35" s="40">
        <f t="shared" si="0"/>
        <v>31</v>
      </c>
      <c r="P35" s="40">
        <f t="shared" si="1"/>
        <v>488</v>
      </c>
      <c r="Q35" s="40">
        <f t="shared" si="2"/>
        <v>132.97002724795641</v>
      </c>
    </row>
    <row r="36" spans="1:17" ht="13" customHeight="1" x14ac:dyDescent="0.15">
      <c r="A36" s="105">
        <v>30</v>
      </c>
      <c r="B36" s="40" t="s">
        <v>190</v>
      </c>
      <c r="C36" s="290">
        <v>248</v>
      </c>
      <c r="D36" s="290">
        <v>2306</v>
      </c>
      <c r="E36" s="290">
        <v>10</v>
      </c>
      <c r="F36" s="290">
        <v>135</v>
      </c>
      <c r="G36" s="290">
        <v>0</v>
      </c>
      <c r="H36" s="290">
        <v>0</v>
      </c>
      <c r="I36" s="290">
        <v>0</v>
      </c>
      <c r="J36" s="290">
        <v>0</v>
      </c>
      <c r="K36" s="290">
        <v>194</v>
      </c>
      <c r="L36" s="290">
        <v>1413</v>
      </c>
      <c r="M36" s="290">
        <v>2</v>
      </c>
      <c r="N36" s="290">
        <v>56</v>
      </c>
      <c r="O36" s="40">
        <f t="shared" si="0"/>
        <v>206</v>
      </c>
      <c r="P36" s="40">
        <f t="shared" si="1"/>
        <v>1604</v>
      </c>
      <c r="Q36" s="40">
        <f t="shared" si="2"/>
        <v>69.557675628794456</v>
      </c>
    </row>
    <row r="37" spans="1:17" ht="13" customHeight="1" x14ac:dyDescent="0.15">
      <c r="A37" s="105">
        <v>31</v>
      </c>
      <c r="B37" s="40" t="s">
        <v>191</v>
      </c>
      <c r="C37" s="290">
        <v>33</v>
      </c>
      <c r="D37" s="290">
        <v>327</v>
      </c>
      <c r="E37" s="290">
        <v>0</v>
      </c>
      <c r="F37" s="290">
        <v>0</v>
      </c>
      <c r="G37" s="290">
        <v>0</v>
      </c>
      <c r="H37" s="290">
        <v>0</v>
      </c>
      <c r="I37" s="290">
        <v>4</v>
      </c>
      <c r="J37" s="290">
        <v>55</v>
      </c>
      <c r="K37" s="290">
        <v>53</v>
      </c>
      <c r="L37" s="290">
        <v>69</v>
      </c>
      <c r="M37" s="290">
        <v>0</v>
      </c>
      <c r="N37" s="290">
        <v>0</v>
      </c>
      <c r="O37" s="40">
        <f t="shared" si="0"/>
        <v>57</v>
      </c>
      <c r="P37" s="40">
        <f t="shared" si="1"/>
        <v>124</v>
      </c>
      <c r="Q37" s="40">
        <f t="shared" si="2"/>
        <v>37.920489296636084</v>
      </c>
    </row>
    <row r="38" spans="1:17" ht="13" customHeight="1" x14ac:dyDescent="0.15">
      <c r="A38" s="105">
        <v>32</v>
      </c>
      <c r="B38" s="40" t="s">
        <v>71</v>
      </c>
      <c r="C38" s="290">
        <v>10</v>
      </c>
      <c r="D38" s="290">
        <v>126</v>
      </c>
      <c r="E38" s="290">
        <v>0</v>
      </c>
      <c r="F38" s="290">
        <v>0</v>
      </c>
      <c r="G38" s="290">
        <v>0</v>
      </c>
      <c r="H38" s="290">
        <v>0</v>
      </c>
      <c r="I38" s="290">
        <v>0</v>
      </c>
      <c r="J38" s="290">
        <v>0</v>
      </c>
      <c r="K38" s="290">
        <v>0</v>
      </c>
      <c r="L38" s="290">
        <v>0</v>
      </c>
      <c r="M38" s="290">
        <v>0</v>
      </c>
      <c r="N38" s="290">
        <v>0</v>
      </c>
      <c r="O38" s="40">
        <f t="shared" si="0"/>
        <v>0</v>
      </c>
      <c r="P38" s="40">
        <f t="shared" si="1"/>
        <v>0</v>
      </c>
      <c r="Q38" s="40">
        <f t="shared" si="2"/>
        <v>0</v>
      </c>
    </row>
    <row r="39" spans="1:17" ht="13" customHeight="1" x14ac:dyDescent="0.15">
      <c r="A39" s="105">
        <v>33</v>
      </c>
      <c r="B39" s="40" t="s">
        <v>192</v>
      </c>
      <c r="C39" s="290">
        <v>40</v>
      </c>
      <c r="D39" s="290">
        <v>400</v>
      </c>
      <c r="E39" s="290">
        <v>0</v>
      </c>
      <c r="F39" s="290">
        <v>0</v>
      </c>
      <c r="G39" s="290">
        <v>0</v>
      </c>
      <c r="H39" s="290">
        <v>0</v>
      </c>
      <c r="I39" s="290">
        <v>9</v>
      </c>
      <c r="J39" s="290">
        <v>257</v>
      </c>
      <c r="K39" s="290">
        <v>190</v>
      </c>
      <c r="L39" s="290">
        <v>316</v>
      </c>
      <c r="M39" s="290">
        <v>9</v>
      </c>
      <c r="N39" s="290">
        <v>3116</v>
      </c>
      <c r="O39" s="40">
        <f t="shared" si="0"/>
        <v>208</v>
      </c>
      <c r="P39" s="40">
        <f t="shared" si="1"/>
        <v>3689</v>
      </c>
      <c r="Q39" s="40">
        <f t="shared" si="2"/>
        <v>922.25</v>
      </c>
    </row>
    <row r="40" spans="1:17" ht="13" customHeight="1" x14ac:dyDescent="0.15">
      <c r="A40" s="105">
        <v>34</v>
      </c>
      <c r="B40" s="40" t="s">
        <v>70</v>
      </c>
      <c r="C40" s="290">
        <v>331</v>
      </c>
      <c r="D40" s="290">
        <v>3117</v>
      </c>
      <c r="E40" s="290">
        <v>0</v>
      </c>
      <c r="F40" s="290">
        <v>0</v>
      </c>
      <c r="G40" s="290">
        <v>0</v>
      </c>
      <c r="H40" s="290">
        <v>0</v>
      </c>
      <c r="I40" s="290">
        <v>57</v>
      </c>
      <c r="J40" s="290">
        <v>1636</v>
      </c>
      <c r="K40" s="290">
        <v>258</v>
      </c>
      <c r="L40" s="290">
        <v>1240</v>
      </c>
      <c r="M40" s="290">
        <v>8111</v>
      </c>
      <c r="N40" s="290">
        <v>14439</v>
      </c>
      <c r="O40" s="40">
        <f t="shared" si="0"/>
        <v>8426</v>
      </c>
      <c r="P40" s="40">
        <f t="shared" si="1"/>
        <v>17315</v>
      </c>
      <c r="Q40" s="40">
        <f t="shared" si="2"/>
        <v>555.50208533846649</v>
      </c>
    </row>
    <row r="41" spans="1:17" s="43" customFormat="1" ht="13" customHeight="1" x14ac:dyDescent="0.15">
      <c r="A41" s="293"/>
      <c r="B41" s="42" t="s">
        <v>213</v>
      </c>
      <c r="C41" s="359">
        <f>SUM(C19:C40)</f>
        <v>22735</v>
      </c>
      <c r="D41" s="359">
        <f t="shared" ref="D41:N41" si="4">SUM(D19:D40)</f>
        <v>207530</v>
      </c>
      <c r="E41" s="359">
        <f t="shared" si="4"/>
        <v>91</v>
      </c>
      <c r="F41" s="359">
        <f t="shared" si="4"/>
        <v>1092.6500000000001</v>
      </c>
      <c r="G41" s="359">
        <f t="shared" si="4"/>
        <v>21</v>
      </c>
      <c r="H41" s="359">
        <f t="shared" si="4"/>
        <v>68.53</v>
      </c>
      <c r="I41" s="359">
        <f t="shared" si="4"/>
        <v>926</v>
      </c>
      <c r="J41" s="359">
        <f t="shared" si="4"/>
        <v>23201.94</v>
      </c>
      <c r="K41" s="359">
        <f t="shared" si="4"/>
        <v>7817</v>
      </c>
      <c r="L41" s="359">
        <f t="shared" si="4"/>
        <v>30605.800000000003</v>
      </c>
      <c r="M41" s="359">
        <f t="shared" si="4"/>
        <v>240486</v>
      </c>
      <c r="N41" s="359">
        <f t="shared" si="4"/>
        <v>942738.33</v>
      </c>
      <c r="O41" s="42">
        <f t="shared" si="0"/>
        <v>249341</v>
      </c>
      <c r="P41" s="42">
        <f t="shared" si="1"/>
        <v>997707.25</v>
      </c>
      <c r="Q41" s="42">
        <f t="shared" si="2"/>
        <v>480.75326458825231</v>
      </c>
    </row>
    <row r="42" spans="1:17" s="43" customFormat="1" ht="13" customHeight="1" x14ac:dyDescent="0.2">
      <c r="A42" s="293"/>
      <c r="B42" s="42" t="s">
        <v>311</v>
      </c>
      <c r="C42" s="42">
        <f>C41+C18</f>
        <v>138868</v>
      </c>
      <c r="D42" s="42">
        <f t="shared" ref="D42:N42" si="5">D41+D18</f>
        <v>1239178</v>
      </c>
      <c r="E42" s="42">
        <f t="shared" si="5"/>
        <v>197</v>
      </c>
      <c r="F42" s="42">
        <f t="shared" si="5"/>
        <v>3991.15</v>
      </c>
      <c r="G42" s="42">
        <f t="shared" si="5"/>
        <v>157</v>
      </c>
      <c r="H42" s="42">
        <f t="shared" si="5"/>
        <v>899.88</v>
      </c>
      <c r="I42" s="42">
        <f t="shared" si="5"/>
        <v>6505</v>
      </c>
      <c r="J42" s="42">
        <f t="shared" si="5"/>
        <v>57015.58</v>
      </c>
      <c r="K42" s="42">
        <f t="shared" si="5"/>
        <v>23802</v>
      </c>
      <c r="L42" s="42">
        <f t="shared" si="5"/>
        <v>73089.88</v>
      </c>
      <c r="M42" s="42">
        <f t="shared" si="5"/>
        <v>307034</v>
      </c>
      <c r="N42" s="42">
        <f t="shared" si="5"/>
        <v>3679586.7</v>
      </c>
      <c r="O42" s="42">
        <f t="shared" si="0"/>
        <v>337695</v>
      </c>
      <c r="P42" s="42">
        <f t="shared" si="1"/>
        <v>3814583.1900000004</v>
      </c>
      <c r="Q42" s="42">
        <f t="shared" si="2"/>
        <v>307.83173926586824</v>
      </c>
    </row>
    <row r="43" spans="1:17" ht="13" customHeight="1" x14ac:dyDescent="0.15">
      <c r="A43" s="105">
        <v>35</v>
      </c>
      <c r="B43" s="40" t="s">
        <v>193</v>
      </c>
      <c r="C43" s="290">
        <v>18084</v>
      </c>
      <c r="D43" s="290">
        <v>111540</v>
      </c>
      <c r="E43" s="290">
        <v>0</v>
      </c>
      <c r="F43" s="290">
        <v>0</v>
      </c>
      <c r="G43" s="290">
        <v>0</v>
      </c>
      <c r="H43" s="290">
        <v>0</v>
      </c>
      <c r="I43" s="290">
        <v>5</v>
      </c>
      <c r="J43" s="290">
        <v>220</v>
      </c>
      <c r="K43" s="290">
        <v>178</v>
      </c>
      <c r="L43" s="290">
        <v>812</v>
      </c>
      <c r="M43" s="290">
        <v>4108</v>
      </c>
      <c r="N43" s="290">
        <v>7612</v>
      </c>
      <c r="O43" s="40">
        <f t="shared" si="0"/>
        <v>4291</v>
      </c>
      <c r="P43" s="40">
        <f t="shared" si="1"/>
        <v>8644</v>
      </c>
      <c r="Q43" s="40">
        <f t="shared" si="2"/>
        <v>7.7496862112246729</v>
      </c>
    </row>
    <row r="44" spans="1:17" ht="13" customHeight="1" x14ac:dyDescent="0.15">
      <c r="A44" s="105">
        <v>36</v>
      </c>
      <c r="B44" s="40" t="s">
        <v>382</v>
      </c>
      <c r="C44" s="290">
        <v>1140</v>
      </c>
      <c r="D44" s="290">
        <v>12513</v>
      </c>
      <c r="E44" s="290">
        <v>0</v>
      </c>
      <c r="F44" s="290">
        <v>0</v>
      </c>
      <c r="G44" s="290">
        <v>0</v>
      </c>
      <c r="H44" s="290">
        <v>0</v>
      </c>
      <c r="I44" s="290">
        <v>6</v>
      </c>
      <c r="J44" s="290">
        <v>81.36</v>
      </c>
      <c r="K44" s="290">
        <v>238</v>
      </c>
      <c r="L44" s="290">
        <v>704.51</v>
      </c>
      <c r="M44" s="290">
        <v>2988</v>
      </c>
      <c r="N44" s="290">
        <v>18333.98</v>
      </c>
      <c r="O44" s="40">
        <f t="shared" si="0"/>
        <v>3232</v>
      </c>
      <c r="P44" s="40">
        <f t="shared" si="1"/>
        <v>19119.849999999999</v>
      </c>
      <c r="Q44" s="40">
        <f t="shared" si="2"/>
        <v>152.79988811635897</v>
      </c>
    </row>
    <row r="45" spans="1:17" s="43" customFormat="1" ht="13" customHeight="1" x14ac:dyDescent="0.15">
      <c r="A45" s="293"/>
      <c r="B45" s="42" t="s">
        <v>216</v>
      </c>
      <c r="C45" s="359">
        <f>SUM(C43:C44)</f>
        <v>19224</v>
      </c>
      <c r="D45" s="359">
        <f t="shared" ref="D45:N45" si="6">SUM(D43:D44)</f>
        <v>124053</v>
      </c>
      <c r="E45" s="359">
        <f t="shared" si="6"/>
        <v>0</v>
      </c>
      <c r="F45" s="359">
        <f t="shared" si="6"/>
        <v>0</v>
      </c>
      <c r="G45" s="359">
        <f t="shared" si="6"/>
        <v>0</v>
      </c>
      <c r="H45" s="359">
        <f t="shared" si="6"/>
        <v>0</v>
      </c>
      <c r="I45" s="359">
        <f t="shared" si="6"/>
        <v>11</v>
      </c>
      <c r="J45" s="359">
        <f t="shared" si="6"/>
        <v>301.36</v>
      </c>
      <c r="K45" s="359">
        <f t="shared" si="6"/>
        <v>416</v>
      </c>
      <c r="L45" s="359">
        <f t="shared" si="6"/>
        <v>1516.51</v>
      </c>
      <c r="M45" s="359">
        <f t="shared" si="6"/>
        <v>7096</v>
      </c>
      <c r="N45" s="359">
        <f t="shared" si="6"/>
        <v>25945.98</v>
      </c>
      <c r="O45" s="42">
        <f t="shared" si="0"/>
        <v>7523</v>
      </c>
      <c r="P45" s="42">
        <f t="shared" si="1"/>
        <v>27763.85</v>
      </c>
      <c r="Q45" s="42">
        <f t="shared" si="2"/>
        <v>22.380635696033146</v>
      </c>
    </row>
    <row r="46" spans="1:17" ht="13" customHeight="1" x14ac:dyDescent="0.15">
      <c r="A46" s="105">
        <v>37</v>
      </c>
      <c r="B46" s="40" t="s">
        <v>312</v>
      </c>
      <c r="C46" s="290">
        <v>154</v>
      </c>
      <c r="D46" s="290">
        <v>1765</v>
      </c>
      <c r="E46" s="290">
        <v>0</v>
      </c>
      <c r="F46" s="290">
        <v>0</v>
      </c>
      <c r="G46" s="290">
        <v>0</v>
      </c>
      <c r="H46" s="290">
        <v>0</v>
      </c>
      <c r="I46" s="290">
        <v>0</v>
      </c>
      <c r="J46" s="290">
        <v>0</v>
      </c>
      <c r="K46" s="290">
        <v>156</v>
      </c>
      <c r="L46" s="290">
        <v>176</v>
      </c>
      <c r="M46" s="290">
        <v>0</v>
      </c>
      <c r="N46" s="290">
        <v>0</v>
      </c>
      <c r="O46" s="40">
        <f t="shared" si="0"/>
        <v>156</v>
      </c>
      <c r="P46" s="40">
        <f t="shared" si="1"/>
        <v>176</v>
      </c>
      <c r="Q46" s="40">
        <f t="shared" si="2"/>
        <v>9.9716713881019832</v>
      </c>
    </row>
    <row r="47" spans="1:17" s="43" customFormat="1" ht="13" customHeight="1" x14ac:dyDescent="0.15">
      <c r="A47" s="293"/>
      <c r="B47" s="42" t="s">
        <v>214</v>
      </c>
      <c r="C47" s="359">
        <f>C46</f>
        <v>154</v>
      </c>
      <c r="D47" s="359">
        <f t="shared" ref="D47:N47" si="7">D46</f>
        <v>1765</v>
      </c>
      <c r="E47" s="359">
        <f t="shared" si="7"/>
        <v>0</v>
      </c>
      <c r="F47" s="359">
        <f t="shared" si="7"/>
        <v>0</v>
      </c>
      <c r="G47" s="359">
        <f t="shared" si="7"/>
        <v>0</v>
      </c>
      <c r="H47" s="359">
        <f t="shared" si="7"/>
        <v>0</v>
      </c>
      <c r="I47" s="359">
        <f t="shared" si="7"/>
        <v>0</v>
      </c>
      <c r="J47" s="359">
        <f t="shared" si="7"/>
        <v>0</v>
      </c>
      <c r="K47" s="359">
        <f t="shared" si="7"/>
        <v>156</v>
      </c>
      <c r="L47" s="359">
        <f t="shared" si="7"/>
        <v>176</v>
      </c>
      <c r="M47" s="359">
        <f t="shared" si="7"/>
        <v>0</v>
      </c>
      <c r="N47" s="359">
        <f t="shared" si="7"/>
        <v>0</v>
      </c>
      <c r="O47" s="42">
        <f t="shared" si="0"/>
        <v>156</v>
      </c>
      <c r="P47" s="42">
        <f t="shared" si="1"/>
        <v>176</v>
      </c>
      <c r="Q47" s="42">
        <f t="shared" si="2"/>
        <v>9.9716713881019832</v>
      </c>
    </row>
    <row r="48" spans="1:17" s="43" customFormat="1" ht="13" customHeight="1" x14ac:dyDescent="0.15">
      <c r="A48" s="105">
        <v>38</v>
      </c>
      <c r="B48" s="40" t="s">
        <v>304</v>
      </c>
      <c r="C48" s="290">
        <v>403</v>
      </c>
      <c r="D48" s="290">
        <v>2727</v>
      </c>
      <c r="E48" s="290">
        <v>0</v>
      </c>
      <c r="F48" s="290">
        <v>0</v>
      </c>
      <c r="G48" s="290">
        <v>0</v>
      </c>
      <c r="H48" s="290">
        <v>0</v>
      </c>
      <c r="I48" s="290">
        <v>16</v>
      </c>
      <c r="J48" s="290">
        <v>374.85</v>
      </c>
      <c r="K48" s="290">
        <v>5</v>
      </c>
      <c r="L48" s="290">
        <v>6.97</v>
      </c>
      <c r="M48" s="290">
        <v>1565</v>
      </c>
      <c r="N48" s="290">
        <v>3205.84</v>
      </c>
      <c r="O48" s="40">
        <f t="shared" si="0"/>
        <v>1586</v>
      </c>
      <c r="P48" s="40">
        <f t="shared" si="1"/>
        <v>3587.6600000000003</v>
      </c>
      <c r="Q48" s="40">
        <f t="shared" si="2"/>
        <v>131.5606894022736</v>
      </c>
    </row>
    <row r="49" spans="1:17" ht="13" customHeight="1" x14ac:dyDescent="0.15">
      <c r="A49" s="105">
        <v>39</v>
      </c>
      <c r="B49" s="40" t="s">
        <v>305</v>
      </c>
      <c r="C49" s="290">
        <v>463</v>
      </c>
      <c r="D49" s="290">
        <v>3317</v>
      </c>
      <c r="E49" s="290">
        <v>0</v>
      </c>
      <c r="F49" s="290">
        <v>0</v>
      </c>
      <c r="G49" s="290">
        <v>0</v>
      </c>
      <c r="H49" s="290">
        <v>0</v>
      </c>
      <c r="I49" s="290">
        <v>0</v>
      </c>
      <c r="J49" s="290">
        <v>0</v>
      </c>
      <c r="K49" s="290">
        <v>0</v>
      </c>
      <c r="L49" s="290">
        <v>0</v>
      </c>
      <c r="M49" s="290">
        <v>82</v>
      </c>
      <c r="N49" s="290">
        <v>333</v>
      </c>
      <c r="O49" s="40">
        <f t="shared" si="0"/>
        <v>82</v>
      </c>
      <c r="P49" s="40">
        <f t="shared" si="1"/>
        <v>333</v>
      </c>
      <c r="Q49" s="40">
        <f t="shared" si="2"/>
        <v>10.039192041000904</v>
      </c>
    </row>
    <row r="50" spans="1:17" ht="13" customHeight="1" x14ac:dyDescent="0.15">
      <c r="A50" s="105">
        <v>40</v>
      </c>
      <c r="B50" s="40" t="s">
        <v>383</v>
      </c>
      <c r="C50" s="290">
        <v>156</v>
      </c>
      <c r="D50" s="290">
        <v>915</v>
      </c>
      <c r="E50" s="290">
        <v>0</v>
      </c>
      <c r="F50" s="290">
        <v>0</v>
      </c>
      <c r="G50" s="290">
        <v>0</v>
      </c>
      <c r="H50" s="290">
        <v>0</v>
      </c>
      <c r="I50" s="290">
        <v>0</v>
      </c>
      <c r="J50" s="290">
        <v>0</v>
      </c>
      <c r="K50" s="290">
        <v>0</v>
      </c>
      <c r="L50" s="290">
        <v>0</v>
      </c>
      <c r="M50" s="290">
        <v>264</v>
      </c>
      <c r="N50" s="290">
        <v>651.88</v>
      </c>
      <c r="O50" s="40">
        <f t="shared" si="0"/>
        <v>264</v>
      </c>
      <c r="P50" s="40">
        <f t="shared" si="1"/>
        <v>651.88</v>
      </c>
      <c r="Q50" s="40">
        <f t="shared" si="2"/>
        <v>71.243715846994533</v>
      </c>
    </row>
    <row r="51" spans="1:17" s="43" customFormat="1" ht="13" customHeight="1" x14ac:dyDescent="0.15">
      <c r="A51" s="105">
        <v>41</v>
      </c>
      <c r="B51" s="40" t="s">
        <v>306</v>
      </c>
      <c r="C51" s="290">
        <v>96</v>
      </c>
      <c r="D51" s="290">
        <v>957</v>
      </c>
      <c r="E51" s="290">
        <v>0</v>
      </c>
      <c r="F51" s="290">
        <v>0</v>
      </c>
      <c r="G51" s="290">
        <v>0</v>
      </c>
      <c r="H51" s="290">
        <v>0</v>
      </c>
      <c r="I51" s="290">
        <v>0</v>
      </c>
      <c r="J51" s="290">
        <v>0</v>
      </c>
      <c r="K51" s="290">
        <v>0</v>
      </c>
      <c r="L51" s="290">
        <v>0</v>
      </c>
      <c r="M51" s="290">
        <v>137</v>
      </c>
      <c r="N51" s="290">
        <v>226.3</v>
      </c>
      <c r="O51" s="40">
        <f t="shared" si="0"/>
        <v>137</v>
      </c>
      <c r="P51" s="40">
        <f t="shared" si="1"/>
        <v>226.3</v>
      </c>
      <c r="Q51" s="40">
        <f t="shared" si="2"/>
        <v>23.646812957157785</v>
      </c>
    </row>
    <row r="52" spans="1:17" ht="13" customHeight="1" x14ac:dyDescent="0.15">
      <c r="A52" s="105">
        <v>42</v>
      </c>
      <c r="B52" s="40" t="s">
        <v>307</v>
      </c>
      <c r="C52" s="290">
        <v>9</v>
      </c>
      <c r="D52" s="290">
        <v>82</v>
      </c>
      <c r="E52" s="290">
        <v>0</v>
      </c>
      <c r="F52" s="290">
        <v>0</v>
      </c>
      <c r="G52" s="290">
        <v>0</v>
      </c>
      <c r="H52" s="290">
        <v>0</v>
      </c>
      <c r="I52" s="290">
        <v>2</v>
      </c>
      <c r="J52" s="290">
        <v>27</v>
      </c>
      <c r="K52" s="290">
        <v>0</v>
      </c>
      <c r="L52" s="290">
        <v>0</v>
      </c>
      <c r="M52" s="290">
        <v>3293</v>
      </c>
      <c r="N52" s="290">
        <v>1938</v>
      </c>
      <c r="O52" s="40">
        <f t="shared" si="0"/>
        <v>3295</v>
      </c>
      <c r="P52" s="40">
        <f t="shared" si="1"/>
        <v>1965</v>
      </c>
      <c r="Q52" s="40">
        <f t="shared" si="2"/>
        <v>2396.3414634146343</v>
      </c>
    </row>
    <row r="53" spans="1:17" s="43" customFormat="1" ht="13" customHeight="1" x14ac:dyDescent="0.15">
      <c r="A53" s="105">
        <v>43</v>
      </c>
      <c r="B53" s="40" t="s">
        <v>308</v>
      </c>
      <c r="C53" s="290">
        <v>54</v>
      </c>
      <c r="D53" s="290">
        <v>661</v>
      </c>
      <c r="E53" s="290">
        <v>0</v>
      </c>
      <c r="F53" s="290">
        <v>0</v>
      </c>
      <c r="G53" s="290">
        <v>0</v>
      </c>
      <c r="H53" s="290">
        <v>0</v>
      </c>
      <c r="I53" s="290">
        <v>0</v>
      </c>
      <c r="J53" s="290">
        <v>0</v>
      </c>
      <c r="K53" s="290">
        <v>1046</v>
      </c>
      <c r="L53" s="290">
        <v>73.95</v>
      </c>
      <c r="M53" s="290">
        <v>7</v>
      </c>
      <c r="N53" s="290">
        <v>63.37</v>
      </c>
      <c r="O53" s="40">
        <f t="shared" si="0"/>
        <v>1053</v>
      </c>
      <c r="P53" s="40">
        <f t="shared" si="1"/>
        <v>137.32</v>
      </c>
      <c r="Q53" s="40">
        <f t="shared" si="2"/>
        <v>20.774583963691377</v>
      </c>
    </row>
    <row r="54" spans="1:17" ht="13" customHeight="1" x14ac:dyDescent="0.15">
      <c r="A54" s="105">
        <v>44</v>
      </c>
      <c r="B54" s="40" t="s">
        <v>300</v>
      </c>
      <c r="C54" s="290">
        <v>0</v>
      </c>
      <c r="D54" s="290">
        <v>0</v>
      </c>
      <c r="E54" s="290">
        <v>0</v>
      </c>
      <c r="F54" s="290">
        <v>0</v>
      </c>
      <c r="G54" s="290">
        <v>0</v>
      </c>
      <c r="H54" s="290">
        <v>0</v>
      </c>
      <c r="I54" s="290">
        <v>5</v>
      </c>
      <c r="J54" s="290">
        <v>53.14</v>
      </c>
      <c r="K54" s="290">
        <v>26</v>
      </c>
      <c r="L54" s="290">
        <v>48.52</v>
      </c>
      <c r="M54" s="290">
        <v>58</v>
      </c>
      <c r="N54" s="290">
        <v>271.37</v>
      </c>
      <c r="O54" s="40">
        <f t="shared" si="0"/>
        <v>89</v>
      </c>
      <c r="P54" s="40">
        <f t="shared" si="1"/>
        <v>373.03</v>
      </c>
      <c r="Q54" s="40" t="e">
        <f t="shared" si="2"/>
        <v>#DIV/0!</v>
      </c>
    </row>
    <row r="55" spans="1:17" ht="13" customHeight="1" x14ac:dyDescent="0.15">
      <c r="A55" s="105">
        <v>45</v>
      </c>
      <c r="B55" s="40" t="s">
        <v>309</v>
      </c>
      <c r="C55" s="290">
        <v>414</v>
      </c>
      <c r="D55" s="290">
        <v>742</v>
      </c>
      <c r="E55" s="290">
        <v>0</v>
      </c>
      <c r="F55" s="290">
        <v>0</v>
      </c>
      <c r="G55" s="290">
        <v>0</v>
      </c>
      <c r="H55" s="290">
        <v>0</v>
      </c>
      <c r="I55" s="290">
        <v>0</v>
      </c>
      <c r="J55" s="290">
        <v>0</v>
      </c>
      <c r="K55" s="290">
        <v>0</v>
      </c>
      <c r="L55" s="290">
        <v>0</v>
      </c>
      <c r="M55" s="290">
        <v>0</v>
      </c>
      <c r="N55" s="290">
        <v>0</v>
      </c>
      <c r="O55" s="40">
        <f t="shared" si="0"/>
        <v>0</v>
      </c>
      <c r="P55" s="40">
        <f t="shared" si="1"/>
        <v>0</v>
      </c>
      <c r="Q55" s="40">
        <f t="shared" si="2"/>
        <v>0</v>
      </c>
    </row>
    <row r="56" spans="1:17" s="43" customFormat="1" ht="13" customHeight="1" x14ac:dyDescent="0.15">
      <c r="A56" s="293"/>
      <c r="B56" s="42" t="s">
        <v>310</v>
      </c>
      <c r="C56" s="359">
        <f>SUM(C48:C55)</f>
        <v>1595</v>
      </c>
      <c r="D56" s="359">
        <f t="shared" ref="D56:N56" si="8">SUM(D48:D55)</f>
        <v>9401</v>
      </c>
      <c r="E56" s="359">
        <f t="shared" si="8"/>
        <v>0</v>
      </c>
      <c r="F56" s="359">
        <f t="shared" si="8"/>
        <v>0</v>
      </c>
      <c r="G56" s="359">
        <f t="shared" si="8"/>
        <v>0</v>
      </c>
      <c r="H56" s="359">
        <f t="shared" si="8"/>
        <v>0</v>
      </c>
      <c r="I56" s="359">
        <f t="shared" si="8"/>
        <v>23</v>
      </c>
      <c r="J56" s="359">
        <f t="shared" si="8"/>
        <v>454.99</v>
      </c>
      <c r="K56" s="359">
        <f t="shared" si="8"/>
        <v>1077</v>
      </c>
      <c r="L56" s="359">
        <f t="shared" si="8"/>
        <v>129.44</v>
      </c>
      <c r="M56" s="359">
        <f t="shared" si="8"/>
        <v>5406</v>
      </c>
      <c r="N56" s="359">
        <f t="shared" si="8"/>
        <v>6689.76</v>
      </c>
      <c r="O56" s="42">
        <f t="shared" si="0"/>
        <v>6506</v>
      </c>
      <c r="P56" s="42">
        <f t="shared" si="1"/>
        <v>7274.1900000000005</v>
      </c>
      <c r="Q56" s="42">
        <f t="shared" si="2"/>
        <v>77.376768428890543</v>
      </c>
    </row>
    <row r="57" spans="1:17" s="43" customFormat="1" ht="13" customHeight="1" x14ac:dyDescent="0.15">
      <c r="A57" s="42"/>
      <c r="B57" s="42" t="s">
        <v>0</v>
      </c>
      <c r="C57" s="359">
        <f>C56+C47+C45+C42</f>
        <v>159841</v>
      </c>
      <c r="D57" s="359">
        <f t="shared" ref="D57:N57" si="9">D56+D47+D45+D42</f>
        <v>1374397</v>
      </c>
      <c r="E57" s="359">
        <f t="shared" si="9"/>
        <v>197</v>
      </c>
      <c r="F57" s="359">
        <f t="shared" si="9"/>
        <v>3991.15</v>
      </c>
      <c r="G57" s="359">
        <f t="shared" si="9"/>
        <v>157</v>
      </c>
      <c r="H57" s="359">
        <f t="shared" si="9"/>
        <v>899.88</v>
      </c>
      <c r="I57" s="359">
        <f t="shared" si="9"/>
        <v>6539</v>
      </c>
      <c r="J57" s="359">
        <f t="shared" si="9"/>
        <v>57771.93</v>
      </c>
      <c r="K57" s="359">
        <f t="shared" si="9"/>
        <v>25451</v>
      </c>
      <c r="L57" s="359">
        <f t="shared" si="9"/>
        <v>74911.83</v>
      </c>
      <c r="M57" s="359">
        <f t="shared" si="9"/>
        <v>319536</v>
      </c>
      <c r="N57" s="359">
        <f t="shared" si="9"/>
        <v>3712222.4400000004</v>
      </c>
      <c r="O57" s="42">
        <f t="shared" si="0"/>
        <v>351880</v>
      </c>
      <c r="P57" s="42">
        <f t="shared" si="1"/>
        <v>3849797.2300000004</v>
      </c>
      <c r="Q57" s="42">
        <f t="shared" si="2"/>
        <v>280.10809322197304</v>
      </c>
    </row>
    <row r="58" spans="1:17" x14ac:dyDescent="0.2">
      <c r="H58" s="46" t="s">
        <v>1082</v>
      </c>
      <c r="O58" s="45"/>
      <c r="P58" s="45"/>
    </row>
    <row r="62" spans="1:17" x14ac:dyDescent="0.2">
      <c r="O62" s="45"/>
      <c r="P62" s="45"/>
    </row>
  </sheetData>
  <mergeCells count="13">
    <mergeCell ref="A1:Q1"/>
    <mergeCell ref="A3:A5"/>
    <mergeCell ref="B3:B5"/>
    <mergeCell ref="C3:D3"/>
    <mergeCell ref="E3:F4"/>
    <mergeCell ref="Q3:Q5"/>
    <mergeCell ref="C4:C5"/>
    <mergeCell ref="D4:D5"/>
    <mergeCell ref="O3:P4"/>
    <mergeCell ref="G3:H4"/>
    <mergeCell ref="I3:J4"/>
    <mergeCell ref="K3:L4"/>
    <mergeCell ref="M3:N4"/>
  </mergeCells>
  <pageMargins left="1.45" right="0.7" top="0.25" bottom="0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9">
    <tabColor theme="7" tint="0.59999389629810485"/>
  </sheetPr>
  <dimension ref="A1:G62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D58" sqref="D58"/>
    </sheetView>
  </sheetViews>
  <sheetFormatPr baseColWidth="10" defaultColWidth="9.19921875" defaultRowHeight="14" x14ac:dyDescent="0.2"/>
  <cols>
    <col min="1" max="1" width="6" style="53" customWidth="1"/>
    <col min="2" max="2" width="29.19921875" style="27" customWidth="1"/>
    <col min="3" max="3" width="10.19921875" style="27" customWidth="1"/>
    <col min="4" max="4" width="11.796875" style="27" bestFit="1" customWidth="1"/>
    <col min="5" max="5" width="11.59765625" style="27" customWidth="1"/>
    <col min="6" max="6" width="13.59765625" style="27" bestFit="1" customWidth="1"/>
    <col min="7" max="7" width="9.796875" style="28" bestFit="1" customWidth="1"/>
    <col min="8" max="16384" width="9.19921875" style="27"/>
  </cols>
  <sheetData>
    <row r="1" spans="1:7" ht="18.75" customHeight="1" x14ac:dyDescent="0.2">
      <c r="A1" s="447" t="s">
        <v>1031</v>
      </c>
      <c r="B1" s="447"/>
      <c r="C1" s="447"/>
      <c r="D1" s="447"/>
      <c r="E1" s="447"/>
      <c r="F1" s="447"/>
      <c r="G1" s="447"/>
    </row>
    <row r="2" spans="1:7" x14ac:dyDescent="0.2">
      <c r="A2" s="449" t="s">
        <v>107</v>
      </c>
      <c r="B2" s="449"/>
      <c r="C2" s="449"/>
      <c r="D2" s="449"/>
      <c r="E2" s="449"/>
      <c r="F2" s="449"/>
    </row>
    <row r="3" spans="1:7" ht="25.5" customHeight="1" x14ac:dyDescent="0.2">
      <c r="B3" s="29" t="s">
        <v>11</v>
      </c>
      <c r="C3" s="450"/>
      <c r="D3" s="450"/>
      <c r="E3" s="451" t="s">
        <v>38</v>
      </c>
      <c r="F3" s="451"/>
    </row>
    <row r="4" spans="1:7" ht="13.5" customHeight="1" x14ac:dyDescent="0.2">
      <c r="A4" s="448" t="s">
        <v>156</v>
      </c>
      <c r="B4" s="448" t="s">
        <v>2</v>
      </c>
      <c r="C4" s="448" t="s">
        <v>36</v>
      </c>
      <c r="D4" s="448"/>
      <c r="E4" s="448" t="s">
        <v>12</v>
      </c>
      <c r="F4" s="448"/>
      <c r="G4" s="448" t="s">
        <v>108</v>
      </c>
    </row>
    <row r="5" spans="1:7" ht="13.5" customHeight="1" x14ac:dyDescent="0.2">
      <c r="A5" s="448"/>
      <c r="B5" s="448"/>
      <c r="C5" s="296" t="s">
        <v>27</v>
      </c>
      <c r="D5" s="296" t="s">
        <v>15</v>
      </c>
      <c r="E5" s="296" t="s">
        <v>27</v>
      </c>
      <c r="F5" s="296" t="s">
        <v>15</v>
      </c>
      <c r="G5" s="448"/>
    </row>
    <row r="6" spans="1:7" ht="13.5" customHeight="1" x14ac:dyDescent="0.15">
      <c r="A6" s="210">
        <v>1</v>
      </c>
      <c r="B6" s="142" t="s">
        <v>51</v>
      </c>
      <c r="C6" s="281">
        <v>50301</v>
      </c>
      <c r="D6" s="281">
        <v>250277</v>
      </c>
      <c r="E6" s="281">
        <f>'Pri Sec_outstanding_6'!O6+NPS_OS_8!M6</f>
        <v>263844</v>
      </c>
      <c r="F6" s="281">
        <f>'Pri Sec_outstanding_6'!P6+NPS_OS_8!N6</f>
        <v>1534364</v>
      </c>
      <c r="G6" s="314">
        <f>D6*100/F6</f>
        <v>16.311448913034976</v>
      </c>
    </row>
    <row r="7" spans="1:7" ht="13.5" customHeight="1" x14ac:dyDescent="0.15">
      <c r="A7" s="210">
        <v>2</v>
      </c>
      <c r="B7" s="142" t="s">
        <v>52</v>
      </c>
      <c r="C7" s="281">
        <v>174920</v>
      </c>
      <c r="D7" s="281">
        <v>342731.27</v>
      </c>
      <c r="E7" s="281">
        <f>'Pri Sec_outstanding_6'!O7+NPS_OS_8!M7</f>
        <v>872309</v>
      </c>
      <c r="F7" s="281">
        <f>'Pri Sec_outstanding_6'!P7+NPS_OS_8!N7</f>
        <v>2623949.2199999997</v>
      </c>
      <c r="G7" s="314">
        <f t="shared" ref="G7:G57" si="0">D7*100/F7</f>
        <v>13.061657877662741</v>
      </c>
    </row>
    <row r="8" spans="1:7" ht="13.5" customHeight="1" x14ac:dyDescent="0.15">
      <c r="A8" s="210">
        <v>3</v>
      </c>
      <c r="B8" s="142" t="s">
        <v>53</v>
      </c>
      <c r="C8" s="281">
        <v>37730</v>
      </c>
      <c r="D8" s="281">
        <v>49311.23</v>
      </c>
      <c r="E8" s="281">
        <f>'Pri Sec_outstanding_6'!O8+NPS_OS_8!M8</f>
        <v>189184</v>
      </c>
      <c r="F8" s="281">
        <f>'Pri Sec_outstanding_6'!P8+NPS_OS_8!N8</f>
        <v>543395.1</v>
      </c>
      <c r="G8" s="314">
        <f t="shared" si="0"/>
        <v>9.0746548873922492</v>
      </c>
    </row>
    <row r="9" spans="1:7" ht="13.5" customHeight="1" x14ac:dyDescent="0.15">
      <c r="A9" s="210">
        <v>4</v>
      </c>
      <c r="B9" s="142" t="s">
        <v>54</v>
      </c>
      <c r="C9" s="281">
        <v>33810</v>
      </c>
      <c r="D9" s="281">
        <v>117418</v>
      </c>
      <c r="E9" s="281">
        <f>'Pri Sec_outstanding_6'!O9+NPS_OS_8!M9</f>
        <v>295492</v>
      </c>
      <c r="F9" s="281">
        <f>'Pri Sec_outstanding_6'!P9+NPS_OS_8!N9</f>
        <v>1552237.1400000001</v>
      </c>
      <c r="G9" s="314">
        <f t="shared" si="0"/>
        <v>7.5644369648312884</v>
      </c>
    </row>
    <row r="10" spans="1:7" ht="13.5" customHeight="1" x14ac:dyDescent="0.15">
      <c r="A10" s="210">
        <v>5</v>
      </c>
      <c r="B10" s="142" t="s">
        <v>55</v>
      </c>
      <c r="C10" s="281">
        <v>118670</v>
      </c>
      <c r="D10" s="281">
        <v>187042</v>
      </c>
      <c r="E10" s="281">
        <f>'Pri Sec_outstanding_6'!O10+NPS_OS_8!M10</f>
        <v>678537</v>
      </c>
      <c r="F10" s="281">
        <f>'Pri Sec_outstanding_6'!P10+NPS_OS_8!N10</f>
        <v>1441384</v>
      </c>
      <c r="G10" s="314">
        <f t="shared" si="0"/>
        <v>12.97655586575125</v>
      </c>
    </row>
    <row r="11" spans="1:7" ht="13.5" customHeight="1" x14ac:dyDescent="0.15">
      <c r="A11" s="210">
        <v>6</v>
      </c>
      <c r="B11" s="142" t="s">
        <v>56</v>
      </c>
      <c r="C11" s="281">
        <v>40750</v>
      </c>
      <c r="D11" s="281">
        <v>124059</v>
      </c>
      <c r="E11" s="281">
        <f>'Pri Sec_outstanding_6'!O11+NPS_OS_8!M11</f>
        <v>193549</v>
      </c>
      <c r="F11" s="281">
        <f>'Pri Sec_outstanding_6'!P11+NPS_OS_8!N11</f>
        <v>1090830</v>
      </c>
      <c r="G11" s="314">
        <f t="shared" si="0"/>
        <v>11.372899535216304</v>
      </c>
    </row>
    <row r="12" spans="1:7" ht="13.5" customHeight="1" x14ac:dyDescent="0.15">
      <c r="A12" s="210">
        <v>7</v>
      </c>
      <c r="B12" s="142" t="s">
        <v>57</v>
      </c>
      <c r="C12" s="281">
        <v>2154</v>
      </c>
      <c r="D12" s="281">
        <v>15006.23</v>
      </c>
      <c r="E12" s="281">
        <f>'Pri Sec_outstanding_6'!O12+NPS_OS_8!M12</f>
        <v>37203</v>
      </c>
      <c r="F12" s="281">
        <f>'Pri Sec_outstanding_6'!P12+NPS_OS_8!N12</f>
        <v>107019</v>
      </c>
      <c r="G12" s="314">
        <f t="shared" si="0"/>
        <v>14.022024126556966</v>
      </c>
    </row>
    <row r="13" spans="1:7" ht="13.5" customHeight="1" x14ac:dyDescent="0.15">
      <c r="A13" s="210">
        <v>8</v>
      </c>
      <c r="B13" s="142" t="s">
        <v>178</v>
      </c>
      <c r="C13" s="281">
        <v>5822</v>
      </c>
      <c r="D13" s="281">
        <v>10420</v>
      </c>
      <c r="E13" s="281">
        <f>'Pri Sec_outstanding_6'!O13+NPS_OS_8!M13</f>
        <v>20166</v>
      </c>
      <c r="F13" s="281">
        <f>'Pri Sec_outstanding_6'!P13+NPS_OS_8!N13</f>
        <v>95132</v>
      </c>
      <c r="G13" s="314">
        <f t="shared" si="0"/>
        <v>10.953201866879704</v>
      </c>
    </row>
    <row r="14" spans="1:7" ht="13.5" customHeight="1" x14ac:dyDescent="0.15">
      <c r="A14" s="210">
        <v>9</v>
      </c>
      <c r="B14" s="142" t="s">
        <v>58</v>
      </c>
      <c r="C14" s="281">
        <v>142920</v>
      </c>
      <c r="D14" s="281">
        <v>518169.18</v>
      </c>
      <c r="E14" s="281">
        <f>'Pri Sec_outstanding_6'!O14+NPS_OS_8!M14</f>
        <v>421508</v>
      </c>
      <c r="F14" s="281">
        <f>'Pri Sec_outstanding_6'!P14+NPS_OS_8!N14</f>
        <v>2491903.16</v>
      </c>
      <c r="G14" s="314">
        <f t="shared" si="0"/>
        <v>20.794113845098217</v>
      </c>
    </row>
    <row r="15" spans="1:7" ht="13.5" customHeight="1" x14ac:dyDescent="0.15">
      <c r="A15" s="210">
        <v>10</v>
      </c>
      <c r="B15" s="142" t="s">
        <v>64</v>
      </c>
      <c r="C15" s="281">
        <v>267068</v>
      </c>
      <c r="D15" s="281">
        <v>482461</v>
      </c>
      <c r="E15" s="281">
        <f>'Pri Sec_outstanding_6'!O15+NPS_OS_8!M15</f>
        <v>1736252</v>
      </c>
      <c r="F15" s="281">
        <f>'Pri Sec_outstanding_6'!P15+NPS_OS_8!N15</f>
        <v>7112197</v>
      </c>
      <c r="G15" s="314">
        <f t="shared" si="0"/>
        <v>6.7835719398661203</v>
      </c>
    </row>
    <row r="16" spans="1:7" ht="13.5" customHeight="1" x14ac:dyDescent="0.15">
      <c r="A16" s="210">
        <v>11</v>
      </c>
      <c r="B16" s="142" t="s">
        <v>179</v>
      </c>
      <c r="C16" s="281">
        <v>24798</v>
      </c>
      <c r="D16" s="281">
        <v>103285</v>
      </c>
      <c r="E16" s="281">
        <f>'Pri Sec_outstanding_6'!O16+NPS_OS_8!M16</f>
        <v>122064</v>
      </c>
      <c r="F16" s="281">
        <f>'Pri Sec_outstanding_6'!P16+NPS_OS_8!N16</f>
        <v>594083</v>
      </c>
      <c r="G16" s="314">
        <f t="shared" si="0"/>
        <v>17.385617834545005</v>
      </c>
    </row>
    <row r="17" spans="1:7" ht="13.5" customHeight="1" x14ac:dyDescent="0.15">
      <c r="A17" s="210">
        <v>12</v>
      </c>
      <c r="B17" s="142" t="s">
        <v>60</v>
      </c>
      <c r="C17" s="281">
        <v>86758</v>
      </c>
      <c r="D17" s="281">
        <v>207103</v>
      </c>
      <c r="E17" s="281">
        <f>'Pri Sec_outstanding_6'!O17+NPS_OS_8!M17</f>
        <v>387891</v>
      </c>
      <c r="F17" s="281">
        <f>'Pri Sec_outstanding_6'!P17+NPS_OS_8!N17</f>
        <v>1619932</v>
      </c>
      <c r="G17" s="314">
        <f t="shared" si="0"/>
        <v>12.784672443040819</v>
      </c>
    </row>
    <row r="18" spans="1:7" s="29" customFormat="1" ht="13.5" customHeight="1" x14ac:dyDescent="0.15">
      <c r="A18" s="291"/>
      <c r="B18" s="139" t="s">
        <v>215</v>
      </c>
      <c r="C18" s="282">
        <f>SUM(C6:C17)</f>
        <v>985701</v>
      </c>
      <c r="D18" s="282">
        <f>SUM(D6:D17)</f>
        <v>2407282.91</v>
      </c>
      <c r="E18" s="282">
        <f>SUM(E6:E17)</f>
        <v>5217999</v>
      </c>
      <c r="F18" s="282">
        <f>SUM(F6:F17)</f>
        <v>20806425.619999997</v>
      </c>
      <c r="G18" s="315">
        <f t="shared" si="0"/>
        <v>11.569901308209422</v>
      </c>
    </row>
    <row r="19" spans="1:7" ht="13.5" customHeight="1" x14ac:dyDescent="0.15">
      <c r="A19" s="210">
        <v>13</v>
      </c>
      <c r="B19" s="142" t="s">
        <v>41</v>
      </c>
      <c r="C19" s="281">
        <v>9130</v>
      </c>
      <c r="D19" s="281">
        <v>37917.01</v>
      </c>
      <c r="E19" s="281">
        <f>'Pri Sec_outstanding_6'!O19+NPS_OS_8!M19</f>
        <v>253436</v>
      </c>
      <c r="F19" s="281">
        <f>'Pri Sec_outstanding_6'!P19+NPS_OS_8!N19</f>
        <v>1193972.69</v>
      </c>
      <c r="G19" s="314">
        <f t="shared" si="0"/>
        <v>3.1757016150846802</v>
      </c>
    </row>
    <row r="20" spans="1:7" ht="13.5" customHeight="1" x14ac:dyDescent="0.15">
      <c r="A20" s="210">
        <v>14</v>
      </c>
      <c r="B20" s="142" t="s">
        <v>180</v>
      </c>
      <c r="C20" s="281">
        <v>22413</v>
      </c>
      <c r="D20" s="281">
        <v>10234.450000000001</v>
      </c>
      <c r="E20" s="281">
        <f>'Pri Sec_outstanding_6'!O20+NPS_OS_8!M20</f>
        <v>702844</v>
      </c>
      <c r="F20" s="281">
        <f>'Pri Sec_outstanding_6'!P20+NPS_OS_8!N20</f>
        <v>642877.18999999994</v>
      </c>
      <c r="G20" s="314">
        <f t="shared" si="0"/>
        <v>1.5919759106712126</v>
      </c>
    </row>
    <row r="21" spans="1:7" ht="13.5" customHeight="1" x14ac:dyDescent="0.15">
      <c r="A21" s="210">
        <v>15</v>
      </c>
      <c r="B21" s="142" t="s">
        <v>181</v>
      </c>
      <c r="C21" s="281">
        <v>23</v>
      </c>
      <c r="D21" s="281">
        <v>74</v>
      </c>
      <c r="E21" s="281">
        <f>'Pri Sec_outstanding_6'!O21+NPS_OS_8!M21</f>
        <v>977</v>
      </c>
      <c r="F21" s="281">
        <f>'Pri Sec_outstanding_6'!P21+NPS_OS_8!N21</f>
        <v>1879</v>
      </c>
      <c r="G21" s="314">
        <f t="shared" si="0"/>
        <v>3.9382650345928685</v>
      </c>
    </row>
    <row r="22" spans="1:7" ht="13.5" customHeight="1" x14ac:dyDescent="0.15">
      <c r="A22" s="210">
        <v>16</v>
      </c>
      <c r="B22" s="142" t="s">
        <v>45</v>
      </c>
      <c r="C22" s="281">
        <v>17</v>
      </c>
      <c r="D22" s="281">
        <v>281.19</v>
      </c>
      <c r="E22" s="281">
        <f>'Pri Sec_outstanding_6'!O22+NPS_OS_8!M22</f>
        <v>469</v>
      </c>
      <c r="F22" s="281">
        <f>'Pri Sec_outstanding_6'!P22+NPS_OS_8!N22</f>
        <v>12387.71</v>
      </c>
      <c r="G22" s="314">
        <f t="shared" si="0"/>
        <v>2.2699110650798251</v>
      </c>
    </row>
    <row r="23" spans="1:7" ht="13.5" customHeight="1" x14ac:dyDescent="0.15">
      <c r="A23" s="210">
        <v>17</v>
      </c>
      <c r="B23" s="142" t="s">
        <v>182</v>
      </c>
      <c r="C23" s="281">
        <v>10901</v>
      </c>
      <c r="D23" s="281">
        <v>3203</v>
      </c>
      <c r="E23" s="281">
        <f>'Pri Sec_outstanding_6'!O23+NPS_OS_8!M23</f>
        <v>90570</v>
      </c>
      <c r="F23" s="281">
        <f>'Pri Sec_outstanding_6'!P23+NPS_OS_8!N23</f>
        <v>107611</v>
      </c>
      <c r="G23" s="314">
        <f t="shared" si="0"/>
        <v>2.9764615141574744</v>
      </c>
    </row>
    <row r="24" spans="1:7" ht="13.5" customHeight="1" x14ac:dyDescent="0.15">
      <c r="A24" s="210">
        <v>18</v>
      </c>
      <c r="B24" s="142" t="s">
        <v>183</v>
      </c>
      <c r="C24" s="281">
        <v>0</v>
      </c>
      <c r="D24" s="281">
        <v>0</v>
      </c>
      <c r="E24" s="281">
        <f>'Pri Sec_outstanding_6'!O24+NPS_OS_8!M24</f>
        <v>194</v>
      </c>
      <c r="F24" s="281">
        <f>'Pri Sec_outstanding_6'!P24+NPS_OS_8!N24</f>
        <v>524.22</v>
      </c>
      <c r="G24" s="314">
        <f t="shared" si="0"/>
        <v>0</v>
      </c>
    </row>
    <row r="25" spans="1:7" ht="13.5" customHeight="1" x14ac:dyDescent="0.15">
      <c r="A25" s="210">
        <v>19</v>
      </c>
      <c r="B25" s="142" t="s">
        <v>184</v>
      </c>
      <c r="C25" s="281">
        <v>235</v>
      </c>
      <c r="D25" s="281">
        <v>2333</v>
      </c>
      <c r="E25" s="281">
        <f>'Pri Sec_outstanding_6'!O25+NPS_OS_8!M25</f>
        <v>14867</v>
      </c>
      <c r="F25" s="281">
        <f>'Pri Sec_outstanding_6'!P25+NPS_OS_8!N25</f>
        <v>46874</v>
      </c>
      <c r="G25" s="314">
        <f t="shared" si="0"/>
        <v>4.9771728463540557</v>
      </c>
    </row>
    <row r="26" spans="1:7" ht="13.5" customHeight="1" x14ac:dyDescent="0.15">
      <c r="A26" s="210">
        <v>20</v>
      </c>
      <c r="B26" s="142" t="s">
        <v>65</v>
      </c>
      <c r="C26" s="281">
        <v>91343</v>
      </c>
      <c r="D26" s="281">
        <v>91669.7</v>
      </c>
      <c r="E26" s="281">
        <f>'Pri Sec_outstanding_6'!O26+NPS_OS_8!M26</f>
        <v>1081922</v>
      </c>
      <c r="F26" s="281">
        <f>'Pri Sec_outstanding_6'!P26+NPS_OS_8!N26</f>
        <v>2418507.2199999997</v>
      </c>
      <c r="G26" s="314">
        <f t="shared" si="0"/>
        <v>3.7903422095221204</v>
      </c>
    </row>
    <row r="27" spans="1:7" ht="13.5" customHeight="1" x14ac:dyDescent="0.15">
      <c r="A27" s="210">
        <v>21</v>
      </c>
      <c r="B27" s="142" t="s">
        <v>66</v>
      </c>
      <c r="C27" s="281">
        <v>31192</v>
      </c>
      <c r="D27" s="281">
        <v>78714</v>
      </c>
      <c r="E27" s="281">
        <f>'Pri Sec_outstanding_6'!O27+NPS_OS_8!M27</f>
        <v>455569</v>
      </c>
      <c r="F27" s="281">
        <f>'Pri Sec_outstanding_6'!P27+NPS_OS_8!N27</f>
        <v>2268911</v>
      </c>
      <c r="G27" s="314">
        <f t="shared" si="0"/>
        <v>3.4692414114083805</v>
      </c>
    </row>
    <row r="28" spans="1:7" ht="13.5" customHeight="1" x14ac:dyDescent="0.15">
      <c r="A28" s="210">
        <v>22</v>
      </c>
      <c r="B28" s="142" t="s">
        <v>75</v>
      </c>
      <c r="C28" s="281">
        <v>10183</v>
      </c>
      <c r="D28" s="281">
        <v>14255.55</v>
      </c>
      <c r="E28" s="281">
        <f>'Pri Sec_outstanding_6'!O28+NPS_OS_8!M28</f>
        <v>61425</v>
      </c>
      <c r="F28" s="281">
        <f>'Pri Sec_outstanding_6'!P28+NPS_OS_8!N28</f>
        <v>282359</v>
      </c>
      <c r="G28" s="314">
        <f t="shared" si="0"/>
        <v>5.0487322876196616</v>
      </c>
    </row>
    <row r="29" spans="1:7" ht="13.5" customHeight="1" x14ac:dyDescent="0.15">
      <c r="A29" s="210">
        <v>23</v>
      </c>
      <c r="B29" s="142" t="s">
        <v>379</v>
      </c>
      <c r="C29" s="281">
        <v>0</v>
      </c>
      <c r="D29" s="281">
        <v>0</v>
      </c>
      <c r="E29" s="281">
        <f>'Pri Sec_outstanding_6'!O29+NPS_OS_8!M29</f>
        <v>411546</v>
      </c>
      <c r="F29" s="281">
        <f>'Pri Sec_outstanding_6'!P29+NPS_OS_8!N29</f>
        <v>329410.36</v>
      </c>
      <c r="G29" s="314">
        <f t="shared" si="0"/>
        <v>0</v>
      </c>
    </row>
    <row r="30" spans="1:7" ht="13.5" customHeight="1" x14ac:dyDescent="0.15">
      <c r="A30" s="210">
        <v>24</v>
      </c>
      <c r="B30" s="142" t="s">
        <v>185</v>
      </c>
      <c r="C30" s="281">
        <v>31465</v>
      </c>
      <c r="D30" s="281">
        <v>9238</v>
      </c>
      <c r="E30" s="281">
        <f>'Pri Sec_outstanding_6'!O30+NPS_OS_8!M30</f>
        <v>769523</v>
      </c>
      <c r="F30" s="281">
        <f>'Pri Sec_outstanding_6'!P30+NPS_OS_8!N30</f>
        <v>594251</v>
      </c>
      <c r="G30" s="314">
        <f t="shared" si="0"/>
        <v>1.5545619611914832</v>
      </c>
    </row>
    <row r="31" spans="1:7" ht="13.5" customHeight="1" x14ac:dyDescent="0.15">
      <c r="A31" s="210">
        <v>25</v>
      </c>
      <c r="B31" s="142" t="s">
        <v>186</v>
      </c>
      <c r="C31" s="281">
        <v>205</v>
      </c>
      <c r="D31" s="281">
        <v>823</v>
      </c>
      <c r="E31" s="281">
        <f>'Pri Sec_outstanding_6'!O31+NPS_OS_8!M31</f>
        <v>892</v>
      </c>
      <c r="F31" s="281">
        <f>'Pri Sec_outstanding_6'!P31+NPS_OS_8!N31</f>
        <v>3910</v>
      </c>
      <c r="G31" s="314">
        <f t="shared" si="0"/>
        <v>21.04859335038363</v>
      </c>
    </row>
    <row r="32" spans="1:7" ht="13.5" customHeight="1" x14ac:dyDescent="0.15">
      <c r="A32" s="210">
        <v>26</v>
      </c>
      <c r="B32" s="142" t="s">
        <v>187</v>
      </c>
      <c r="C32" s="281">
        <v>2462</v>
      </c>
      <c r="D32" s="281">
        <v>14386.17</v>
      </c>
      <c r="E32" s="281">
        <f>'Pri Sec_outstanding_6'!O32+NPS_OS_8!M32</f>
        <v>3619</v>
      </c>
      <c r="F32" s="281">
        <f>'Pri Sec_outstanding_6'!P32+NPS_OS_8!N32</f>
        <v>42037.8</v>
      </c>
      <c r="G32" s="314">
        <f t="shared" si="0"/>
        <v>34.221985926951454</v>
      </c>
    </row>
    <row r="33" spans="1:7" ht="13.5" customHeight="1" x14ac:dyDescent="0.15">
      <c r="A33" s="210">
        <v>27</v>
      </c>
      <c r="B33" s="142" t="s">
        <v>188</v>
      </c>
      <c r="C33" s="281">
        <v>42</v>
      </c>
      <c r="D33" s="281">
        <v>439.17</v>
      </c>
      <c r="E33" s="281">
        <f>'Pri Sec_outstanding_6'!O33+NPS_OS_8!M33</f>
        <v>263</v>
      </c>
      <c r="F33" s="281">
        <f>'Pri Sec_outstanding_6'!P33+NPS_OS_8!N33</f>
        <v>7968.28</v>
      </c>
      <c r="G33" s="314">
        <f t="shared" si="0"/>
        <v>5.5114780103108831</v>
      </c>
    </row>
    <row r="34" spans="1:7" ht="13.5" customHeight="1" x14ac:dyDescent="0.15">
      <c r="A34" s="210">
        <v>28</v>
      </c>
      <c r="B34" s="142" t="s">
        <v>67</v>
      </c>
      <c r="C34" s="281">
        <v>3731</v>
      </c>
      <c r="D34" s="281">
        <v>12730.35</v>
      </c>
      <c r="E34" s="281">
        <f>'Pri Sec_outstanding_6'!O34+NPS_OS_8!M34</f>
        <v>182783</v>
      </c>
      <c r="F34" s="281">
        <f>'Pri Sec_outstanding_6'!P34+NPS_OS_8!N34</f>
        <v>568451.11</v>
      </c>
      <c r="G34" s="314">
        <f t="shared" si="0"/>
        <v>2.2394801903016779</v>
      </c>
    </row>
    <row r="35" spans="1:7" ht="13.5" customHeight="1" x14ac:dyDescent="0.15">
      <c r="A35" s="210">
        <v>29</v>
      </c>
      <c r="B35" s="142" t="s">
        <v>189</v>
      </c>
      <c r="C35" s="281">
        <v>24</v>
      </c>
      <c r="D35" s="281">
        <v>1439</v>
      </c>
      <c r="E35" s="281">
        <f>'Pri Sec_outstanding_6'!O35+NPS_OS_8!M35</f>
        <v>288</v>
      </c>
      <c r="F35" s="281">
        <f>'Pri Sec_outstanding_6'!P35+NPS_OS_8!N35</f>
        <v>6126</v>
      </c>
      <c r="G35" s="314">
        <f t="shared" si="0"/>
        <v>23.490042442050278</v>
      </c>
    </row>
    <row r="36" spans="1:7" ht="13.5" customHeight="1" x14ac:dyDescent="0.15">
      <c r="A36" s="210">
        <v>30</v>
      </c>
      <c r="B36" s="142" t="s">
        <v>190</v>
      </c>
      <c r="C36" s="281">
        <v>10827</v>
      </c>
      <c r="D36" s="281">
        <v>2025</v>
      </c>
      <c r="E36" s="281">
        <f>'Pri Sec_outstanding_6'!O36+NPS_OS_8!M36</f>
        <v>197074</v>
      </c>
      <c r="F36" s="281">
        <f>'Pri Sec_outstanding_6'!P36+NPS_OS_8!N36</f>
        <v>86922</v>
      </c>
      <c r="G36" s="314">
        <f t="shared" si="0"/>
        <v>2.3296748809277283</v>
      </c>
    </row>
    <row r="37" spans="1:7" ht="13.5" customHeight="1" x14ac:dyDescent="0.15">
      <c r="A37" s="210">
        <v>31</v>
      </c>
      <c r="B37" s="142" t="s">
        <v>191</v>
      </c>
      <c r="C37" s="281">
        <v>6</v>
      </c>
      <c r="D37" s="281">
        <v>18</v>
      </c>
      <c r="E37" s="281">
        <f>'Pri Sec_outstanding_6'!O37+NPS_OS_8!M37</f>
        <v>653</v>
      </c>
      <c r="F37" s="281">
        <f>'Pri Sec_outstanding_6'!P37+NPS_OS_8!N37</f>
        <v>9715</v>
      </c>
      <c r="G37" s="314">
        <f t="shared" si="0"/>
        <v>0.18528049408131755</v>
      </c>
    </row>
    <row r="38" spans="1:7" ht="13.5" customHeight="1" x14ac:dyDescent="0.15">
      <c r="A38" s="210">
        <v>32</v>
      </c>
      <c r="B38" s="142" t="s">
        <v>71</v>
      </c>
      <c r="C38" s="281">
        <v>0</v>
      </c>
      <c r="D38" s="281">
        <v>0</v>
      </c>
      <c r="E38" s="281">
        <f>'Pri Sec_outstanding_6'!O38+NPS_OS_8!M38</f>
        <v>0</v>
      </c>
      <c r="F38" s="281">
        <f>'Pri Sec_outstanding_6'!P38+NPS_OS_8!N38</f>
        <v>26216</v>
      </c>
      <c r="G38" s="314">
        <f t="shared" si="0"/>
        <v>0</v>
      </c>
    </row>
    <row r="39" spans="1:7" ht="13.5" customHeight="1" x14ac:dyDescent="0.15">
      <c r="A39" s="210">
        <v>33</v>
      </c>
      <c r="B39" s="142" t="s">
        <v>192</v>
      </c>
      <c r="C39" s="281">
        <v>4</v>
      </c>
      <c r="D39" s="281">
        <v>38.72</v>
      </c>
      <c r="E39" s="281">
        <f>'Pri Sec_outstanding_6'!O39+NPS_OS_8!M39</f>
        <v>708</v>
      </c>
      <c r="F39" s="281">
        <f>'Pri Sec_outstanding_6'!P39+NPS_OS_8!N39</f>
        <v>6680.26</v>
      </c>
      <c r="G39" s="314">
        <f t="shared" si="0"/>
        <v>0.57961815857466625</v>
      </c>
    </row>
    <row r="40" spans="1:7" ht="13.5" customHeight="1" x14ac:dyDescent="0.15">
      <c r="A40" s="210">
        <v>34</v>
      </c>
      <c r="B40" s="142" t="s">
        <v>70</v>
      </c>
      <c r="C40" s="281">
        <v>10458</v>
      </c>
      <c r="D40" s="281">
        <v>6400</v>
      </c>
      <c r="E40" s="281">
        <f>'Pri Sec_outstanding_6'!O40+NPS_OS_8!M40</f>
        <v>134625</v>
      </c>
      <c r="F40" s="281">
        <f>'Pri Sec_outstanding_6'!P40+NPS_OS_8!N40</f>
        <v>217403</v>
      </c>
      <c r="G40" s="314">
        <f t="shared" si="0"/>
        <v>2.943841621320773</v>
      </c>
    </row>
    <row r="41" spans="1:7" s="29" customFormat="1" ht="13.5" customHeight="1" x14ac:dyDescent="0.15">
      <c r="A41" s="291"/>
      <c r="B41" s="139" t="s">
        <v>213</v>
      </c>
      <c r="C41" s="282">
        <f>SUM(C19:C40)</f>
        <v>234661</v>
      </c>
      <c r="D41" s="282">
        <f t="shared" ref="D41:F41" si="1">SUM(D19:D40)</f>
        <v>286219.30999999994</v>
      </c>
      <c r="E41" s="282">
        <f t="shared" si="1"/>
        <v>4364247</v>
      </c>
      <c r="F41" s="282">
        <f t="shared" si="1"/>
        <v>8874993.8399999999</v>
      </c>
      <c r="G41" s="315">
        <f t="shared" si="0"/>
        <v>3.2250085482876227</v>
      </c>
    </row>
    <row r="42" spans="1:7" s="29" customFormat="1" ht="13.5" customHeight="1" x14ac:dyDescent="0.15">
      <c r="A42" s="291"/>
      <c r="B42" s="139" t="s">
        <v>311</v>
      </c>
      <c r="C42" s="282">
        <f>C41+C18</f>
        <v>1220362</v>
      </c>
      <c r="D42" s="282">
        <f t="shared" ref="D42:F42" si="2">D41+D18</f>
        <v>2693502.22</v>
      </c>
      <c r="E42" s="282">
        <f t="shared" si="2"/>
        <v>9582246</v>
      </c>
      <c r="F42" s="282">
        <f t="shared" si="2"/>
        <v>29681419.459999997</v>
      </c>
      <c r="G42" s="315">
        <f>D42*100/F42</f>
        <v>9.0747082484713495</v>
      </c>
    </row>
    <row r="43" spans="1:7" ht="13.5" customHeight="1" x14ac:dyDescent="0.15">
      <c r="A43" s="210">
        <v>35</v>
      </c>
      <c r="B43" s="142" t="s">
        <v>193</v>
      </c>
      <c r="C43" s="281">
        <v>98765</v>
      </c>
      <c r="D43" s="281">
        <v>67801</v>
      </c>
      <c r="E43" s="281">
        <f>'Pri Sec_outstanding_6'!O43+NPS_OS_8!M43</f>
        <v>319810</v>
      </c>
      <c r="F43" s="281">
        <f>'Pri Sec_outstanding_6'!P43+NPS_OS_8!N43</f>
        <v>277653</v>
      </c>
      <c r="G43" s="314">
        <f t="shared" si="0"/>
        <v>24.419329162659867</v>
      </c>
    </row>
    <row r="44" spans="1:7" ht="13.5" customHeight="1" x14ac:dyDescent="0.15">
      <c r="A44" s="210">
        <v>36</v>
      </c>
      <c r="B44" s="142" t="s">
        <v>382</v>
      </c>
      <c r="C44" s="281">
        <v>245743</v>
      </c>
      <c r="D44" s="281">
        <v>193464.01</v>
      </c>
      <c r="E44" s="281">
        <f>'Pri Sec_outstanding_6'!O44+NPS_OS_8!M44</f>
        <v>910948</v>
      </c>
      <c r="F44" s="281">
        <f>'Pri Sec_outstanding_6'!P44+NPS_OS_8!N44</f>
        <v>1090244.31</v>
      </c>
      <c r="G44" s="314">
        <f t="shared" si="0"/>
        <v>17.74501441791519</v>
      </c>
    </row>
    <row r="45" spans="1:7" s="29" customFormat="1" ht="13.5" customHeight="1" x14ac:dyDescent="0.15">
      <c r="A45" s="291"/>
      <c r="B45" s="139" t="s">
        <v>216</v>
      </c>
      <c r="C45" s="282">
        <f>SUM(C43:C44)</f>
        <v>344508</v>
      </c>
      <c r="D45" s="282">
        <f t="shared" ref="D45:F45" si="3">SUM(D43:D44)</f>
        <v>261265.01</v>
      </c>
      <c r="E45" s="282">
        <f t="shared" si="3"/>
        <v>1230758</v>
      </c>
      <c r="F45" s="282">
        <f t="shared" si="3"/>
        <v>1367897.31</v>
      </c>
      <c r="G45" s="315">
        <f t="shared" si="0"/>
        <v>19.099753182495839</v>
      </c>
    </row>
    <row r="46" spans="1:7" ht="13.5" customHeight="1" x14ac:dyDescent="0.15">
      <c r="A46" s="210">
        <v>37</v>
      </c>
      <c r="B46" s="142" t="s">
        <v>312</v>
      </c>
      <c r="C46" s="281">
        <v>0</v>
      </c>
      <c r="D46" s="281">
        <v>682489</v>
      </c>
      <c r="E46" s="281">
        <f>'Pri Sec_outstanding_6'!O46+NPS_OS_8!M46</f>
        <v>3934966</v>
      </c>
      <c r="F46" s="281">
        <f>'Pri Sec_outstanding_6'!P46+NPS_OS_8!N46</f>
        <v>3595261</v>
      </c>
      <c r="G46" s="314">
        <f t="shared" si="0"/>
        <v>18.983016810184296</v>
      </c>
    </row>
    <row r="47" spans="1:7" s="29" customFormat="1" ht="13.5" customHeight="1" x14ac:dyDescent="0.15">
      <c r="A47" s="291"/>
      <c r="B47" s="139" t="s">
        <v>214</v>
      </c>
      <c r="C47" s="282">
        <f>C46</f>
        <v>0</v>
      </c>
      <c r="D47" s="282">
        <f t="shared" ref="D47:F47" si="4">D46</f>
        <v>682489</v>
      </c>
      <c r="E47" s="282">
        <f t="shared" si="4"/>
        <v>3934966</v>
      </c>
      <c r="F47" s="282">
        <f t="shared" si="4"/>
        <v>3595261</v>
      </c>
      <c r="G47" s="315">
        <f t="shared" si="0"/>
        <v>18.983016810184296</v>
      </c>
    </row>
    <row r="48" spans="1:7" ht="13.5" customHeight="1" x14ac:dyDescent="0.15">
      <c r="A48" s="210">
        <v>38</v>
      </c>
      <c r="B48" s="142" t="s">
        <v>304</v>
      </c>
      <c r="C48" s="281">
        <v>11858</v>
      </c>
      <c r="D48" s="281">
        <v>29037.27</v>
      </c>
      <c r="E48" s="281">
        <f>'Pri Sec_outstanding_6'!O48+NPS_OS_8!M48</f>
        <v>137028</v>
      </c>
      <c r="F48" s="281">
        <f>'Pri Sec_outstanding_6'!P48+NPS_OS_8!N48</f>
        <v>579166.79</v>
      </c>
      <c r="G48" s="314">
        <f t="shared" si="0"/>
        <v>5.0136282848676457</v>
      </c>
    </row>
    <row r="49" spans="1:7" ht="13.5" customHeight="1" x14ac:dyDescent="0.15">
      <c r="A49" s="210">
        <v>39</v>
      </c>
      <c r="B49" s="142" t="s">
        <v>305</v>
      </c>
      <c r="C49" s="281">
        <v>5855</v>
      </c>
      <c r="D49" s="281">
        <v>2749</v>
      </c>
      <c r="E49" s="281">
        <f>'Pri Sec_outstanding_6'!O49+NPS_OS_8!M49</f>
        <v>90869</v>
      </c>
      <c r="F49" s="281">
        <f>'Pri Sec_outstanding_6'!P49+NPS_OS_8!N49</f>
        <v>57245</v>
      </c>
      <c r="G49" s="314">
        <f t="shared" si="0"/>
        <v>4.8021661280461174</v>
      </c>
    </row>
    <row r="50" spans="1:7" ht="13.5" customHeight="1" x14ac:dyDescent="0.15">
      <c r="A50" s="210">
        <v>40</v>
      </c>
      <c r="B50" s="142" t="s">
        <v>383</v>
      </c>
      <c r="C50" s="281">
        <v>21618</v>
      </c>
      <c r="D50" s="281">
        <v>3423.24</v>
      </c>
      <c r="E50" s="281">
        <f>'Pri Sec_outstanding_6'!O50+NPS_OS_8!M50</f>
        <v>192355</v>
      </c>
      <c r="F50" s="281">
        <f>'Pri Sec_outstanding_6'!P50+NPS_OS_8!N50</f>
        <v>42020.090000000004</v>
      </c>
      <c r="G50" s="314">
        <f t="shared" si="0"/>
        <v>8.1466746025532064</v>
      </c>
    </row>
    <row r="51" spans="1:7" ht="13.5" customHeight="1" x14ac:dyDescent="0.15">
      <c r="A51" s="210">
        <v>41</v>
      </c>
      <c r="B51" s="142" t="s">
        <v>306</v>
      </c>
      <c r="C51" s="281">
        <v>4288</v>
      </c>
      <c r="D51" s="281">
        <v>78.290000000000006</v>
      </c>
      <c r="E51" s="281">
        <f>'Pri Sec_outstanding_6'!O51+NPS_OS_8!M51</f>
        <v>270714</v>
      </c>
      <c r="F51" s="281">
        <f>'Pri Sec_outstanding_6'!P51+NPS_OS_8!N51</f>
        <v>55490.380000000005</v>
      </c>
      <c r="G51" s="314">
        <f t="shared" si="0"/>
        <v>0.14108751823289009</v>
      </c>
    </row>
    <row r="52" spans="1:7" ht="13.5" customHeight="1" x14ac:dyDescent="0.15">
      <c r="A52" s="210">
        <v>42</v>
      </c>
      <c r="B52" s="142" t="s">
        <v>307</v>
      </c>
      <c r="C52" s="224">
        <v>29244</v>
      </c>
      <c r="D52" s="224">
        <v>9871</v>
      </c>
      <c r="E52" s="224">
        <f>'Pri Sec_outstanding_6'!O52+NPS_OS_8!M52</f>
        <v>256134</v>
      </c>
      <c r="F52" s="224">
        <f>'Pri Sec_outstanding_6'!P52+NPS_OS_8!N52</f>
        <v>91029</v>
      </c>
      <c r="G52" s="314">
        <f t="shared" si="0"/>
        <v>10.843797031715168</v>
      </c>
    </row>
    <row r="53" spans="1:7" ht="13.5" customHeight="1" x14ac:dyDescent="0.15">
      <c r="A53" s="210">
        <v>43</v>
      </c>
      <c r="B53" s="142" t="s">
        <v>308</v>
      </c>
      <c r="C53" s="281">
        <v>14239</v>
      </c>
      <c r="D53" s="281">
        <v>2032.77</v>
      </c>
      <c r="E53" s="281">
        <f>'Pri Sec_outstanding_6'!O53+NPS_OS_8!M53</f>
        <v>109274</v>
      </c>
      <c r="F53" s="281">
        <f>'Pri Sec_outstanding_6'!P53+NPS_OS_8!N53</f>
        <v>25865.84</v>
      </c>
      <c r="G53" s="314">
        <f t="shared" si="0"/>
        <v>7.858898067876396</v>
      </c>
    </row>
    <row r="54" spans="1:7" ht="13.5" customHeight="1" x14ac:dyDescent="0.15">
      <c r="A54" s="210">
        <v>44</v>
      </c>
      <c r="B54" s="142" t="s">
        <v>300</v>
      </c>
      <c r="C54" s="281">
        <v>9219</v>
      </c>
      <c r="D54" s="281">
        <v>764.21</v>
      </c>
      <c r="E54" s="281">
        <f>'Pri Sec_outstanding_6'!O54+NPS_OS_8!M54</f>
        <v>68455</v>
      </c>
      <c r="F54" s="281">
        <f>'Pri Sec_outstanding_6'!P54+NPS_OS_8!N54</f>
        <v>20530.560000000001</v>
      </c>
      <c r="G54" s="314">
        <f t="shared" si="0"/>
        <v>3.7223047008946661</v>
      </c>
    </row>
    <row r="55" spans="1:7" ht="13.5" customHeight="1" x14ac:dyDescent="0.15">
      <c r="A55" s="210">
        <v>45</v>
      </c>
      <c r="B55" s="142" t="s">
        <v>309</v>
      </c>
      <c r="C55" s="281">
        <v>4033</v>
      </c>
      <c r="D55" s="281">
        <v>1118</v>
      </c>
      <c r="E55" s="281">
        <f>'Pri Sec_outstanding_6'!O55+NPS_OS_8!M55</f>
        <v>100767</v>
      </c>
      <c r="F55" s="281">
        <f>'Pri Sec_outstanding_6'!P55+NPS_OS_8!N55</f>
        <v>30839</v>
      </c>
      <c r="G55" s="314">
        <f t="shared" si="0"/>
        <v>3.6252796783293881</v>
      </c>
    </row>
    <row r="56" spans="1:7" s="29" customFormat="1" ht="13.5" customHeight="1" x14ac:dyDescent="0.15">
      <c r="A56" s="291"/>
      <c r="B56" s="139" t="s">
        <v>310</v>
      </c>
      <c r="C56" s="282">
        <f>SUM(C48:C55)</f>
        <v>100354</v>
      </c>
      <c r="D56" s="282">
        <f t="shared" ref="D56:F56" si="5">SUM(D48:D55)</f>
        <v>49073.78</v>
      </c>
      <c r="E56" s="282">
        <f t="shared" si="5"/>
        <v>1225596</v>
      </c>
      <c r="F56" s="282">
        <f t="shared" si="5"/>
        <v>902186.66</v>
      </c>
      <c r="G56" s="315">
        <f t="shared" si="0"/>
        <v>5.4394264707926405</v>
      </c>
    </row>
    <row r="57" spans="1:7" s="29" customFormat="1" x14ac:dyDescent="0.15">
      <c r="A57" s="139"/>
      <c r="B57" s="139" t="s">
        <v>0</v>
      </c>
      <c r="C57" s="282">
        <f>C56+C47+C45+C42</f>
        <v>1665224</v>
      </c>
      <c r="D57" s="282">
        <f t="shared" ref="D57:F57" si="6">D56+D47+D45+D42</f>
        <v>3686330.0100000002</v>
      </c>
      <c r="E57" s="282">
        <f t="shared" si="6"/>
        <v>15973566</v>
      </c>
      <c r="F57" s="282">
        <f t="shared" si="6"/>
        <v>35546764.43</v>
      </c>
      <c r="G57" s="315">
        <f t="shared" si="0"/>
        <v>10.370367230635736</v>
      </c>
    </row>
    <row r="58" spans="1:7" ht="15" x14ac:dyDescent="0.2">
      <c r="D58" s="29" t="s">
        <v>1083</v>
      </c>
    </row>
    <row r="62" spans="1:7" x14ac:dyDescent="0.2">
      <c r="C62" s="28"/>
      <c r="D62" s="28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:G1"/>
    <mergeCell ref="E4:F4"/>
    <mergeCell ref="G4:G5"/>
    <mergeCell ref="A2:F2"/>
    <mergeCell ref="C3:D3"/>
    <mergeCell ref="A4:A5"/>
    <mergeCell ref="B4:B5"/>
    <mergeCell ref="E3:F3"/>
    <mergeCell ref="C4:D4"/>
  </mergeCells>
  <phoneticPr fontId="10" type="noConversion"/>
  <conditionalFormatting sqref="H1:I1048576">
    <cfRule type="cellIs" dxfId="19" priority="1" operator="greaterThan">
      <formula>100</formula>
    </cfRule>
    <cfRule type="cellIs" dxfId="18" priority="2" operator="greaterThan">
      <formula>100</formula>
    </cfRule>
  </conditionalFormatting>
  <pageMargins left="1.2" right="0.7" top="0.25" bottom="0.25" header="0.3" footer="0.3"/>
  <pageSetup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</sheetPr>
  <dimension ref="A1:U60"/>
  <sheetViews>
    <sheetView zoomScale="90" zoomScaleNormal="9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G58" sqref="G58"/>
    </sheetView>
  </sheetViews>
  <sheetFormatPr baseColWidth="10" defaultColWidth="9.19921875" defaultRowHeight="13" x14ac:dyDescent="0.2"/>
  <cols>
    <col min="1" max="1" width="5.796875" style="54" customWidth="1"/>
    <col min="2" max="2" width="21.796875" style="54" customWidth="1"/>
    <col min="3" max="4" width="10.796875" style="54" bestFit="1" customWidth="1"/>
    <col min="5" max="5" width="6.796875" style="54" customWidth="1"/>
    <col min="6" max="6" width="9.19921875" style="54" bestFit="1" customWidth="1"/>
    <col min="7" max="7" width="10.796875" style="54" bestFit="1" customWidth="1"/>
    <col min="8" max="8" width="7.59765625" style="326" customWidth="1"/>
    <col min="9" max="9" width="7.796875" style="54" bestFit="1" customWidth="1"/>
    <col min="10" max="10" width="9.59765625" style="54" bestFit="1" customWidth="1"/>
    <col min="11" max="11" width="7.19921875" style="326" customWidth="1"/>
    <col min="12" max="12" width="10.19921875" style="54" bestFit="1" customWidth="1"/>
    <col min="13" max="13" width="10.796875" style="54" bestFit="1" customWidth="1"/>
    <col min="14" max="14" width="7.59765625" style="326" customWidth="1"/>
    <col min="15" max="15" width="9.3984375" style="54" bestFit="1" customWidth="1"/>
    <col min="16" max="16" width="9.59765625" style="54" bestFit="1" customWidth="1"/>
    <col min="17" max="17" width="10.3984375" style="54" bestFit="1" customWidth="1"/>
    <col min="18" max="18" width="10.796875" style="54" bestFit="1" customWidth="1"/>
    <col min="19" max="19" width="7.19921875" style="326" customWidth="1"/>
    <col min="20" max="16384" width="9.19921875" style="54"/>
  </cols>
  <sheetData>
    <row r="1" spans="1:19" ht="14.25" customHeight="1" x14ac:dyDescent="0.2">
      <c r="A1" s="447" t="s">
        <v>1032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</row>
    <row r="2" spans="1:19" ht="16" x14ac:dyDescent="0.2">
      <c r="A2" s="449" t="s">
        <v>28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</row>
    <row r="3" spans="1:19" ht="14" x14ac:dyDescent="0.2">
      <c r="A3" s="56"/>
      <c r="B3" s="55" t="s">
        <v>11</v>
      </c>
      <c r="C3" s="56"/>
      <c r="D3" s="56"/>
      <c r="E3" s="56"/>
      <c r="F3" s="56"/>
      <c r="G3" s="56"/>
      <c r="H3" s="323"/>
      <c r="I3" s="56"/>
      <c r="J3" s="56"/>
      <c r="K3" s="323"/>
      <c r="O3" s="56"/>
      <c r="P3" s="453" t="s">
        <v>157</v>
      </c>
      <c r="Q3" s="453"/>
    </row>
    <row r="4" spans="1:19" ht="25" customHeight="1" x14ac:dyDescent="0.2">
      <c r="A4" s="448" t="s">
        <v>194</v>
      </c>
      <c r="B4" s="452" t="s">
        <v>2</v>
      </c>
      <c r="C4" s="448" t="s">
        <v>16</v>
      </c>
      <c r="D4" s="448"/>
      <c r="E4" s="296" t="s">
        <v>108</v>
      </c>
      <c r="F4" s="448" t="s">
        <v>17</v>
      </c>
      <c r="G4" s="448"/>
      <c r="H4" s="324" t="s">
        <v>108</v>
      </c>
      <c r="I4" s="448" t="s">
        <v>18</v>
      </c>
      <c r="J4" s="448"/>
      <c r="K4" s="324" t="s">
        <v>108</v>
      </c>
      <c r="L4" s="448" t="s">
        <v>22</v>
      </c>
      <c r="M4" s="448"/>
      <c r="N4" s="324" t="s">
        <v>108</v>
      </c>
      <c r="O4" s="448" t="s">
        <v>35</v>
      </c>
      <c r="P4" s="448"/>
      <c r="Q4" s="448" t="s">
        <v>106</v>
      </c>
      <c r="R4" s="448"/>
      <c r="S4" s="324" t="s">
        <v>108</v>
      </c>
    </row>
    <row r="5" spans="1:19" ht="13" customHeight="1" x14ac:dyDescent="0.2">
      <c r="A5" s="448"/>
      <c r="B5" s="452"/>
      <c r="C5" s="296" t="s">
        <v>27</v>
      </c>
      <c r="D5" s="296" t="s">
        <v>15</v>
      </c>
      <c r="E5" s="296" t="s">
        <v>15</v>
      </c>
      <c r="F5" s="296" t="s">
        <v>27</v>
      </c>
      <c r="G5" s="296" t="s">
        <v>15</v>
      </c>
      <c r="H5" s="324" t="s">
        <v>15</v>
      </c>
      <c r="I5" s="296" t="s">
        <v>27</v>
      </c>
      <c r="J5" s="296" t="s">
        <v>15</v>
      </c>
      <c r="K5" s="324" t="s">
        <v>15</v>
      </c>
      <c r="L5" s="296" t="s">
        <v>27</v>
      </c>
      <c r="M5" s="296" t="s">
        <v>15</v>
      </c>
      <c r="N5" s="324" t="s">
        <v>15</v>
      </c>
      <c r="O5" s="296" t="s">
        <v>27</v>
      </c>
      <c r="P5" s="296" t="s">
        <v>15</v>
      </c>
      <c r="Q5" s="296" t="s">
        <v>27</v>
      </c>
      <c r="R5" s="296" t="s">
        <v>15</v>
      </c>
      <c r="S5" s="324" t="s">
        <v>15</v>
      </c>
    </row>
    <row r="6" spans="1:19" ht="15" customHeight="1" x14ac:dyDescent="0.15">
      <c r="A6" s="210">
        <v>1</v>
      </c>
      <c r="B6" s="142" t="s">
        <v>51</v>
      </c>
      <c r="C6" s="281">
        <v>14146</v>
      </c>
      <c r="D6" s="281">
        <v>55995</v>
      </c>
      <c r="E6" s="321">
        <f>D6*100/OutstandingAgri_4!L6</f>
        <v>15.895703518657829</v>
      </c>
      <c r="F6" s="281">
        <v>14684</v>
      </c>
      <c r="G6" s="281">
        <v>17195</v>
      </c>
      <c r="H6" s="321">
        <f>G6*100/'Pri Sec_outstanding_6'!H6</f>
        <v>6.8042689417472273</v>
      </c>
      <c r="I6" s="281">
        <v>450</v>
      </c>
      <c r="J6" s="281">
        <v>811</v>
      </c>
      <c r="K6" s="321">
        <f>J6*100/'Pri Sec_outstanding_6'!F6</f>
        <v>5.4027046832322965</v>
      </c>
      <c r="L6" s="281">
        <v>18511</v>
      </c>
      <c r="M6" s="281">
        <v>83292</v>
      </c>
      <c r="N6" s="321">
        <f>M6*100/MSMEoutstanding_5!N6</f>
        <v>18.660316023649127</v>
      </c>
      <c r="O6" s="281">
        <v>1451</v>
      </c>
      <c r="P6" s="281">
        <v>712</v>
      </c>
      <c r="Q6" s="214">
        <f>C6+F6+I6+L6+O6</f>
        <v>49242</v>
      </c>
      <c r="R6" s="214">
        <f>D6+G6+J6+M6+P6</f>
        <v>158005</v>
      </c>
      <c r="S6" s="327">
        <f>R6*100/'Pri Sec_outstanding_6'!P6</f>
        <v>14.429719898775978</v>
      </c>
    </row>
    <row r="7" spans="1:19" ht="15" customHeight="1" x14ac:dyDescent="0.15">
      <c r="A7" s="210">
        <v>2</v>
      </c>
      <c r="B7" s="142" t="s">
        <v>52</v>
      </c>
      <c r="C7" s="281">
        <v>95563</v>
      </c>
      <c r="D7" s="281">
        <v>197126.76</v>
      </c>
      <c r="E7" s="321">
        <f>D7*100/OutstandingAgri_4!L7</f>
        <v>19.23321127609815</v>
      </c>
      <c r="F7" s="281">
        <v>23544</v>
      </c>
      <c r="G7" s="281">
        <v>16970.330000000002</v>
      </c>
      <c r="H7" s="321">
        <f>G7*100/'Pri Sec_outstanding_6'!H7</f>
        <v>11.327222270020645</v>
      </c>
      <c r="I7" s="281">
        <v>1563</v>
      </c>
      <c r="J7" s="281">
        <v>2248.11</v>
      </c>
      <c r="K7" s="321">
        <f>J7*100/'Pri Sec_outstanding_6'!F7</f>
        <v>14.319664498014582</v>
      </c>
      <c r="L7" s="281">
        <v>39555</v>
      </c>
      <c r="M7" s="281">
        <v>80639.490000000005</v>
      </c>
      <c r="N7" s="321">
        <f>M7*100/MSMEoutstanding_5!N7</f>
        <v>19.357428218810323</v>
      </c>
      <c r="O7" s="281">
        <v>12</v>
      </c>
      <c r="P7" s="281">
        <v>0</v>
      </c>
      <c r="Q7" s="214">
        <f t="shared" ref="Q7:Q57" si="0">C7+F7+I7+L7+O7</f>
        <v>160237</v>
      </c>
      <c r="R7" s="214">
        <f t="shared" ref="R7:R57" si="1">D7+G7+J7+M7+P7</f>
        <v>296984.69</v>
      </c>
      <c r="S7" s="327">
        <f>R7*100/'Pri Sec_outstanding_6'!P7</f>
        <v>18.470372098483804</v>
      </c>
    </row>
    <row r="8" spans="1:19" ht="15" customHeight="1" x14ac:dyDescent="0.15">
      <c r="A8" s="210">
        <v>3</v>
      </c>
      <c r="B8" s="142" t="s">
        <v>53</v>
      </c>
      <c r="C8" s="281">
        <v>10926</v>
      </c>
      <c r="D8" s="281">
        <v>21562.560000000001</v>
      </c>
      <c r="E8" s="321">
        <f>D8*100/OutstandingAgri_4!L8</f>
        <v>19.998031967269444</v>
      </c>
      <c r="F8" s="281">
        <v>6296</v>
      </c>
      <c r="G8" s="281">
        <v>4802.2</v>
      </c>
      <c r="H8" s="321">
        <f>G8*100/'Pri Sec_outstanding_6'!H8</f>
        <v>11.6422953131167</v>
      </c>
      <c r="I8" s="281">
        <v>112</v>
      </c>
      <c r="J8" s="281">
        <v>208.49</v>
      </c>
      <c r="K8" s="321">
        <f>J8*100/'Pri Sec_outstanding_6'!F8</f>
        <v>10.905999895381074</v>
      </c>
      <c r="L8" s="281">
        <v>6716</v>
      </c>
      <c r="M8" s="281">
        <v>17747.71</v>
      </c>
      <c r="N8" s="321">
        <f>M8*100/MSMEoutstanding_5!N8</f>
        <v>14.711472458600928</v>
      </c>
      <c r="O8" s="281">
        <v>6832</v>
      </c>
      <c r="P8" s="281">
        <v>177.57</v>
      </c>
      <c r="Q8" s="214">
        <f t="shared" si="0"/>
        <v>30882</v>
      </c>
      <c r="R8" s="214">
        <f t="shared" si="1"/>
        <v>44498.530000000006</v>
      </c>
      <c r="S8" s="327">
        <f>R8*100/'Pri Sec_outstanding_6'!P8</f>
        <v>13.381152033763239</v>
      </c>
    </row>
    <row r="9" spans="1:19" ht="15" customHeight="1" x14ac:dyDescent="0.15">
      <c r="A9" s="210">
        <v>4</v>
      </c>
      <c r="B9" s="142" t="s">
        <v>54</v>
      </c>
      <c r="C9" s="281">
        <v>12471</v>
      </c>
      <c r="D9" s="281">
        <v>34915.620000000003</v>
      </c>
      <c r="E9" s="321">
        <f>D9*100/OutstandingAgri_4!L9</f>
        <v>13.569629442794234</v>
      </c>
      <c r="F9" s="281">
        <v>2126</v>
      </c>
      <c r="G9" s="281">
        <v>7407.24</v>
      </c>
      <c r="H9" s="321">
        <f>G9*100/'Pri Sec_outstanding_6'!H9</f>
        <v>4.4587431543174159</v>
      </c>
      <c r="I9" s="281">
        <v>539</v>
      </c>
      <c r="J9" s="281">
        <v>1256.6400000000001</v>
      </c>
      <c r="K9" s="321">
        <f>J9*100/'Pri Sec_outstanding_6'!F9</f>
        <v>7.9810635193934436</v>
      </c>
      <c r="L9" s="281">
        <v>16080</v>
      </c>
      <c r="M9" s="281">
        <v>47618.7</v>
      </c>
      <c r="N9" s="321">
        <f>M9*100/MSMEoutstanding_5!N9</f>
        <v>19.935152469146139</v>
      </c>
      <c r="O9" s="281">
        <v>15</v>
      </c>
      <c r="P9" s="281">
        <v>14.28</v>
      </c>
      <c r="Q9" s="214">
        <f t="shared" si="0"/>
        <v>31231</v>
      </c>
      <c r="R9" s="214">
        <f t="shared" si="1"/>
        <v>91212.479999999996</v>
      </c>
      <c r="S9" s="327">
        <f>R9*100/'Pri Sec_outstanding_6'!P9</f>
        <v>13.447631604887627</v>
      </c>
    </row>
    <row r="10" spans="1:19" ht="15" customHeight="1" x14ac:dyDescent="0.15">
      <c r="A10" s="210">
        <v>5</v>
      </c>
      <c r="B10" s="142" t="s">
        <v>55</v>
      </c>
      <c r="C10" s="281">
        <v>43178</v>
      </c>
      <c r="D10" s="281">
        <v>69974</v>
      </c>
      <c r="E10" s="321">
        <f>D10*100/OutstandingAgri_4!L10</f>
        <v>12.357024664956054</v>
      </c>
      <c r="F10" s="281">
        <v>31432</v>
      </c>
      <c r="G10" s="281">
        <v>23814</v>
      </c>
      <c r="H10" s="321">
        <f>G10*100/'Pri Sec_outstanding_6'!H10</f>
        <v>15.413193185936933</v>
      </c>
      <c r="I10" s="281">
        <v>1553</v>
      </c>
      <c r="J10" s="281">
        <v>3054</v>
      </c>
      <c r="K10" s="321">
        <f>J10*100/'Pri Sec_outstanding_6'!F10</f>
        <v>13.138309313830931</v>
      </c>
      <c r="L10" s="281">
        <v>37972</v>
      </c>
      <c r="M10" s="281">
        <v>40804</v>
      </c>
      <c r="N10" s="321">
        <f>M10*100/MSMEoutstanding_5!N10</f>
        <v>12.025333242955702</v>
      </c>
      <c r="O10" s="281">
        <v>519</v>
      </c>
      <c r="P10" s="281">
        <v>100</v>
      </c>
      <c r="Q10" s="214">
        <f t="shared" si="0"/>
        <v>114654</v>
      </c>
      <c r="R10" s="214">
        <f t="shared" si="1"/>
        <v>137746</v>
      </c>
      <c r="S10" s="327">
        <f>R10*100/'Pri Sec_outstanding_6'!P10</f>
        <v>12.699287805102911</v>
      </c>
    </row>
    <row r="11" spans="1:19" ht="15" customHeight="1" x14ac:dyDescent="0.15">
      <c r="A11" s="210">
        <v>6</v>
      </c>
      <c r="B11" s="142" t="s">
        <v>56</v>
      </c>
      <c r="C11" s="281">
        <v>28915</v>
      </c>
      <c r="D11" s="281">
        <v>67988</v>
      </c>
      <c r="E11" s="321">
        <f>D11*100/OutstandingAgri_4!L11</f>
        <v>30.453614989406542</v>
      </c>
      <c r="F11" s="281">
        <v>5614</v>
      </c>
      <c r="G11" s="281">
        <v>4795</v>
      </c>
      <c r="H11" s="321">
        <f>G11*100/'Pri Sec_outstanding_6'!H11</f>
        <v>6.5534113273562209</v>
      </c>
      <c r="I11" s="281">
        <v>539</v>
      </c>
      <c r="J11" s="281">
        <v>1332</v>
      </c>
      <c r="K11" s="321">
        <f>J11*100/'Pri Sec_outstanding_6'!F11</f>
        <v>17.164948453608247</v>
      </c>
      <c r="L11" s="281">
        <v>4959</v>
      </c>
      <c r="M11" s="281">
        <v>32805</v>
      </c>
      <c r="N11" s="321">
        <f>M11*100/MSMEoutstanding_5!N11</f>
        <v>18.187916858405362</v>
      </c>
      <c r="O11" s="281">
        <v>0</v>
      </c>
      <c r="P11" s="281">
        <v>0</v>
      </c>
      <c r="Q11" s="214">
        <f t="shared" si="0"/>
        <v>40027</v>
      </c>
      <c r="R11" s="214">
        <f t="shared" si="1"/>
        <v>106920</v>
      </c>
      <c r="S11" s="327">
        <f>R11*100/'Pri Sec_outstanding_6'!P11</f>
        <v>22.061326857168797</v>
      </c>
    </row>
    <row r="12" spans="1:19" ht="15" customHeight="1" x14ac:dyDescent="0.15">
      <c r="A12" s="210">
        <v>7</v>
      </c>
      <c r="B12" s="142" t="s">
        <v>57</v>
      </c>
      <c r="C12" s="281">
        <v>395</v>
      </c>
      <c r="D12" s="281">
        <v>1433</v>
      </c>
      <c r="E12" s="321">
        <f>D12*100/OutstandingAgri_4!L12</f>
        <v>10.278295796872758</v>
      </c>
      <c r="F12" s="281">
        <v>500</v>
      </c>
      <c r="G12" s="281">
        <v>784</v>
      </c>
      <c r="H12" s="321">
        <f>G12*100/'Pri Sec_outstanding_6'!H12</f>
        <v>3.0016463111145142</v>
      </c>
      <c r="I12" s="281">
        <v>12</v>
      </c>
      <c r="J12" s="281">
        <v>40</v>
      </c>
      <c r="K12" s="321">
        <f>J12*100/'Pri Sec_outstanding_6'!F12</f>
        <v>3.7593984962406015</v>
      </c>
      <c r="L12" s="281">
        <v>1084</v>
      </c>
      <c r="M12" s="281">
        <v>7201</v>
      </c>
      <c r="N12" s="321">
        <f>M12*100/MSMEoutstanding_5!N12</f>
        <v>24.755913091309132</v>
      </c>
      <c r="O12" s="281">
        <v>0</v>
      </c>
      <c r="P12" s="281">
        <v>0</v>
      </c>
      <c r="Q12" s="214">
        <f t="shared" si="0"/>
        <v>1991</v>
      </c>
      <c r="R12" s="214">
        <f t="shared" si="1"/>
        <v>9458</v>
      </c>
      <c r="S12" s="327">
        <f>R12*100/'Pri Sec_outstanding_6'!P12</f>
        <v>13.470439947018358</v>
      </c>
    </row>
    <row r="13" spans="1:19" ht="15" customHeight="1" x14ac:dyDescent="0.15">
      <c r="A13" s="210">
        <v>8</v>
      </c>
      <c r="B13" s="142" t="s">
        <v>178</v>
      </c>
      <c r="C13" s="281">
        <v>1520</v>
      </c>
      <c r="D13" s="281">
        <v>3952</v>
      </c>
      <c r="E13" s="321">
        <f>D13*100/OutstandingAgri_4!L13</f>
        <v>26.672065870284133</v>
      </c>
      <c r="F13" s="281">
        <v>111</v>
      </c>
      <c r="G13" s="281">
        <v>463</v>
      </c>
      <c r="H13" s="321">
        <f>G13*100/'Pri Sec_outstanding_6'!H13</f>
        <v>4.3457856204242535</v>
      </c>
      <c r="I13" s="281">
        <v>30</v>
      </c>
      <c r="J13" s="281">
        <v>41</v>
      </c>
      <c r="K13" s="321">
        <f>J13*100/'Pri Sec_outstanding_6'!F13</f>
        <v>8.5416666666666661</v>
      </c>
      <c r="L13" s="281">
        <v>3601</v>
      </c>
      <c r="M13" s="281">
        <v>5401</v>
      </c>
      <c r="N13" s="321">
        <f>M13*100/MSMEoutstanding_5!N13</f>
        <v>13.556046383213694</v>
      </c>
      <c r="O13" s="281">
        <v>71</v>
      </c>
      <c r="P13" s="281">
        <v>27</v>
      </c>
      <c r="Q13" s="214">
        <f t="shared" si="0"/>
        <v>5333</v>
      </c>
      <c r="R13" s="214">
        <f t="shared" si="1"/>
        <v>9884</v>
      </c>
      <c r="S13" s="327">
        <f>R13*100/'Pri Sec_outstanding_6'!P13</f>
        <v>14.847528916929548</v>
      </c>
    </row>
    <row r="14" spans="1:19" ht="15" customHeight="1" x14ac:dyDescent="0.15">
      <c r="A14" s="210">
        <v>9</v>
      </c>
      <c r="B14" s="142" t="s">
        <v>58</v>
      </c>
      <c r="C14" s="281">
        <v>83507</v>
      </c>
      <c r="D14" s="281">
        <v>152620.79999999999</v>
      </c>
      <c r="E14" s="321">
        <f>D14*100/OutstandingAgri_4!L14</f>
        <v>33.654506307496618</v>
      </c>
      <c r="F14" s="281">
        <v>15571</v>
      </c>
      <c r="G14" s="281">
        <v>21675.83</v>
      </c>
      <c r="H14" s="321">
        <f>G14*100/'Pri Sec_outstanding_6'!H14</f>
        <v>15.604789691485502</v>
      </c>
      <c r="I14" s="281">
        <v>1707</v>
      </c>
      <c r="J14" s="281">
        <v>4544.1499999999996</v>
      </c>
      <c r="K14" s="321">
        <f>J14*100/'Pri Sec_outstanding_6'!F14</f>
        <v>15.888636363636362</v>
      </c>
      <c r="L14" s="281">
        <v>34561</v>
      </c>
      <c r="M14" s="281">
        <v>138404.84</v>
      </c>
      <c r="N14" s="321">
        <f>M14*100/MSMEoutstanding_5!N14</f>
        <v>31.035732000577639</v>
      </c>
      <c r="O14" s="281">
        <v>924</v>
      </c>
      <c r="P14" s="281">
        <v>230.58</v>
      </c>
      <c r="Q14" s="214">
        <f t="shared" si="0"/>
        <v>136270</v>
      </c>
      <c r="R14" s="214">
        <f t="shared" si="1"/>
        <v>317476.2</v>
      </c>
      <c r="S14" s="327">
        <f>R14*100/'Pri Sec_outstanding_6'!P14</f>
        <v>29.736465800467929</v>
      </c>
    </row>
    <row r="15" spans="1:19" ht="15" customHeight="1" x14ac:dyDescent="0.15">
      <c r="A15" s="210">
        <v>10</v>
      </c>
      <c r="B15" s="142" t="s">
        <v>64</v>
      </c>
      <c r="C15" s="281">
        <v>143811</v>
      </c>
      <c r="D15" s="281">
        <v>274977</v>
      </c>
      <c r="E15" s="321">
        <f>D15*100/OutstandingAgri_4!L15</f>
        <v>19.444519086215017</v>
      </c>
      <c r="F15" s="281">
        <v>41065</v>
      </c>
      <c r="G15" s="281">
        <v>36239</v>
      </c>
      <c r="H15" s="321">
        <f>G15*100/'Pri Sec_outstanding_6'!H15</f>
        <v>4.4317125666487307</v>
      </c>
      <c r="I15" s="281">
        <v>862</v>
      </c>
      <c r="J15" s="281">
        <v>2218</v>
      </c>
      <c r="K15" s="321">
        <f>J15*100/'Pri Sec_outstanding_6'!F15</f>
        <v>2.9318845752204199</v>
      </c>
      <c r="L15" s="281">
        <v>58773</v>
      </c>
      <c r="M15" s="281">
        <v>62702</v>
      </c>
      <c r="N15" s="321">
        <f>M15*100/MSMEoutstanding_5!N15</f>
        <v>8.4935128969947193</v>
      </c>
      <c r="O15" s="281">
        <v>0</v>
      </c>
      <c r="P15" s="281">
        <v>0</v>
      </c>
      <c r="Q15" s="214">
        <f t="shared" si="0"/>
        <v>244511</v>
      </c>
      <c r="R15" s="214">
        <f t="shared" si="1"/>
        <v>376136</v>
      </c>
      <c r="S15" s="327">
        <f>R15*100/'Pri Sec_outstanding_6'!P15</f>
        <v>12.327380749495941</v>
      </c>
    </row>
    <row r="16" spans="1:19" ht="15" customHeight="1" x14ac:dyDescent="0.15">
      <c r="A16" s="210">
        <v>11</v>
      </c>
      <c r="B16" s="142" t="s">
        <v>179</v>
      </c>
      <c r="C16" s="281">
        <v>17817</v>
      </c>
      <c r="D16" s="281">
        <v>52722</v>
      </c>
      <c r="E16" s="321">
        <f>D16*100/OutstandingAgri_4!L16</f>
        <v>38.133055591719831</v>
      </c>
      <c r="F16" s="281">
        <v>160</v>
      </c>
      <c r="G16" s="281">
        <v>998</v>
      </c>
      <c r="H16" s="321">
        <f>G16*100/'Pri Sec_outstanding_6'!H16</f>
        <v>1.7949640287769784</v>
      </c>
      <c r="I16" s="281">
        <v>366</v>
      </c>
      <c r="J16" s="281">
        <v>823</v>
      </c>
      <c r="K16" s="321">
        <f>J16*100/'Pri Sec_outstanding_6'!F16</f>
        <v>18.179810028716588</v>
      </c>
      <c r="L16" s="281">
        <v>4727</v>
      </c>
      <c r="M16" s="281">
        <v>11774</v>
      </c>
      <c r="N16" s="321">
        <f>M16*100/MSMEoutstanding_5!N16</f>
        <v>4.1842431651557099</v>
      </c>
      <c r="O16" s="281">
        <v>1314</v>
      </c>
      <c r="P16" s="281">
        <v>733</v>
      </c>
      <c r="Q16" s="214">
        <f t="shared" si="0"/>
        <v>24384</v>
      </c>
      <c r="R16" s="214">
        <f t="shared" si="1"/>
        <v>67050</v>
      </c>
      <c r="S16" s="327">
        <f>R16*100/'Pri Sec_outstanding_6'!P16</f>
        <v>13.975330051232456</v>
      </c>
    </row>
    <row r="17" spans="1:21" ht="15" customHeight="1" x14ac:dyDescent="0.15">
      <c r="A17" s="210">
        <v>12</v>
      </c>
      <c r="B17" s="142" t="s">
        <v>60</v>
      </c>
      <c r="C17" s="281">
        <v>34966</v>
      </c>
      <c r="D17" s="281">
        <v>86928</v>
      </c>
      <c r="E17" s="321">
        <f>D17*100/OutstandingAgri_4!L17</f>
        <v>16.702565294833096</v>
      </c>
      <c r="F17" s="281">
        <v>13799</v>
      </c>
      <c r="G17" s="281">
        <v>12443</v>
      </c>
      <c r="H17" s="321">
        <f>G17*100/'Pri Sec_outstanding_6'!H17</f>
        <v>10.737832240248533</v>
      </c>
      <c r="I17" s="281">
        <v>723</v>
      </c>
      <c r="J17" s="281">
        <v>1472</v>
      </c>
      <c r="K17" s="321">
        <f>J17*100/'Pri Sec_outstanding_6'!F17</f>
        <v>14.667198086887206</v>
      </c>
      <c r="L17" s="281">
        <v>31678</v>
      </c>
      <c r="M17" s="281">
        <v>77416</v>
      </c>
      <c r="N17" s="321">
        <f>M17*100/MSMEoutstanding_5!N17</f>
        <v>20.159209214031453</v>
      </c>
      <c r="O17" s="281">
        <v>1135</v>
      </c>
      <c r="P17" s="281">
        <v>19</v>
      </c>
      <c r="Q17" s="214">
        <f t="shared" si="0"/>
        <v>82301</v>
      </c>
      <c r="R17" s="214">
        <f t="shared" si="1"/>
        <v>178278</v>
      </c>
      <c r="S17" s="327">
        <f>R17*100/'Pri Sec_outstanding_6'!P17</f>
        <v>17.293047104390919</v>
      </c>
    </row>
    <row r="18" spans="1:21" s="104" customFormat="1" ht="15" customHeight="1" x14ac:dyDescent="0.15">
      <c r="A18" s="291"/>
      <c r="B18" s="139" t="s">
        <v>215</v>
      </c>
      <c r="C18" s="282">
        <f>SUM(C6:C17)</f>
        <v>487215</v>
      </c>
      <c r="D18" s="282">
        <f t="shared" ref="D18:P18" si="2">SUM(D6:D17)</f>
        <v>1020194.74</v>
      </c>
      <c r="E18" s="322">
        <f>D18*100/OutstandingAgri_4!L18</f>
        <v>20.055083077440329</v>
      </c>
      <c r="F18" s="282">
        <f t="shared" si="2"/>
        <v>154902</v>
      </c>
      <c r="G18" s="282">
        <f t="shared" si="2"/>
        <v>147586.59999999998</v>
      </c>
      <c r="H18" s="322">
        <f>G18*100/'Pri Sec_outstanding_6'!H18</f>
        <v>7.3702856276948294</v>
      </c>
      <c r="I18" s="282">
        <f t="shared" si="2"/>
        <v>8456</v>
      </c>
      <c r="J18" s="282">
        <f t="shared" si="2"/>
        <v>18048.39</v>
      </c>
      <c r="K18" s="322">
        <f>J18*100/'Pri Sec_outstanding_6'!F18</f>
        <v>9.0363746776092153</v>
      </c>
      <c r="L18" s="282">
        <f t="shared" si="2"/>
        <v>258217</v>
      </c>
      <c r="M18" s="282">
        <f t="shared" si="2"/>
        <v>605805.74</v>
      </c>
      <c r="N18" s="322">
        <f>M18*100/MSMEoutstanding_5!N18</f>
        <v>16.549083329335875</v>
      </c>
      <c r="O18" s="282">
        <f t="shared" si="2"/>
        <v>12273</v>
      </c>
      <c r="P18" s="282">
        <f t="shared" si="2"/>
        <v>2013.4299999999998</v>
      </c>
      <c r="Q18" s="215">
        <f t="shared" si="0"/>
        <v>921063</v>
      </c>
      <c r="R18" s="215">
        <f t="shared" si="1"/>
        <v>1793648.8999999997</v>
      </c>
      <c r="S18" s="328">
        <f>R18*100/'Pri Sec_outstanding_6'!P18</f>
        <v>16.233026423253577</v>
      </c>
      <c r="T18" s="54"/>
      <c r="U18" s="54"/>
    </row>
    <row r="19" spans="1:21" ht="15" customHeight="1" x14ac:dyDescent="0.15">
      <c r="A19" s="210">
        <v>13</v>
      </c>
      <c r="B19" s="142" t="s">
        <v>41</v>
      </c>
      <c r="C19" s="281">
        <v>3232</v>
      </c>
      <c r="D19" s="281">
        <v>14782.03</v>
      </c>
      <c r="E19" s="321">
        <f>D19*100/OutstandingAgri_4!L19</f>
        <v>4.887509641008152</v>
      </c>
      <c r="F19" s="281">
        <v>145</v>
      </c>
      <c r="G19" s="281">
        <v>1353.6</v>
      </c>
      <c r="H19" s="321">
        <f>G19*100/'Pri Sec_outstanding_6'!H19</f>
        <v>3.4171540832037635</v>
      </c>
      <c r="I19" s="281">
        <v>24</v>
      </c>
      <c r="J19" s="281">
        <v>96.77</v>
      </c>
      <c r="K19" s="321">
        <f>J19*100/'Pri Sec_outstanding_6'!F19</f>
        <v>1.5190807340313643</v>
      </c>
      <c r="L19" s="281">
        <v>322</v>
      </c>
      <c r="M19" s="281">
        <v>10636.58</v>
      </c>
      <c r="N19" s="321">
        <f>M19*100/MSMEoutstanding_5!N19</f>
        <v>3.5045855145876676</v>
      </c>
      <c r="O19" s="281">
        <v>3609</v>
      </c>
      <c r="P19" s="281">
        <v>463.7</v>
      </c>
      <c r="Q19" s="214">
        <f t="shared" si="0"/>
        <v>7332</v>
      </c>
      <c r="R19" s="214">
        <f t="shared" si="1"/>
        <v>27332.680000000004</v>
      </c>
      <c r="S19" s="327">
        <f>R19*100/'Pri Sec_outstanding_6'!P19</f>
        <v>4.0446167604174521</v>
      </c>
    </row>
    <row r="20" spans="1:21" ht="15" customHeight="1" x14ac:dyDescent="0.15">
      <c r="A20" s="210">
        <v>14</v>
      </c>
      <c r="B20" s="142" t="s">
        <v>180</v>
      </c>
      <c r="C20" s="281">
        <v>14164</v>
      </c>
      <c r="D20" s="281">
        <v>4908.8900000000003</v>
      </c>
      <c r="E20" s="321">
        <f>D20*100/OutstandingAgri_4!L20</f>
        <v>4.7429030946855981</v>
      </c>
      <c r="F20" s="281">
        <v>133</v>
      </c>
      <c r="G20" s="281">
        <v>1290.08</v>
      </c>
      <c r="H20" s="321">
        <f>G20*100/'Pri Sec_outstanding_6'!H20</f>
        <v>0.45592085902603174</v>
      </c>
      <c r="I20" s="281">
        <v>0</v>
      </c>
      <c r="J20" s="281">
        <v>0</v>
      </c>
      <c r="K20" s="321">
        <v>0</v>
      </c>
      <c r="L20" s="281">
        <v>8116</v>
      </c>
      <c r="M20" s="281">
        <v>4035.49</v>
      </c>
      <c r="N20" s="321">
        <f>M20*100/MSMEoutstanding_5!N20</f>
        <v>2.9906126913898676</v>
      </c>
      <c r="O20" s="281">
        <v>0</v>
      </c>
      <c r="P20" s="281">
        <v>0</v>
      </c>
      <c r="Q20" s="214">
        <f t="shared" si="0"/>
        <v>22413</v>
      </c>
      <c r="R20" s="214">
        <f t="shared" si="1"/>
        <v>10234.459999999999</v>
      </c>
      <c r="S20" s="327">
        <f>R20*100/'Pri Sec_outstanding_6'!P20</f>
        <v>1.9385231292122722</v>
      </c>
    </row>
    <row r="21" spans="1:21" ht="15" customHeight="1" x14ac:dyDescent="0.15">
      <c r="A21" s="210">
        <v>15</v>
      </c>
      <c r="B21" s="142" t="s">
        <v>181</v>
      </c>
      <c r="C21" s="281">
        <v>0</v>
      </c>
      <c r="D21" s="281">
        <v>0</v>
      </c>
      <c r="E21" s="321">
        <f>D21*100/OutstandingAgri_4!L21</f>
        <v>0</v>
      </c>
      <c r="F21" s="281">
        <v>0</v>
      </c>
      <c r="G21" s="281">
        <v>0</v>
      </c>
      <c r="H21" s="321">
        <f>G21*100/'Pri Sec_outstanding_6'!H21</f>
        <v>0</v>
      </c>
      <c r="I21" s="281">
        <v>0</v>
      </c>
      <c r="J21" s="281">
        <v>0</v>
      </c>
      <c r="K21" s="321">
        <v>0</v>
      </c>
      <c r="L21" s="281">
        <v>0</v>
      </c>
      <c r="M21" s="281">
        <v>0</v>
      </c>
      <c r="N21" s="321">
        <f>M21*100/MSMEoutstanding_5!N21</f>
        <v>0</v>
      </c>
      <c r="O21" s="281">
        <v>0</v>
      </c>
      <c r="P21" s="281">
        <v>0</v>
      </c>
      <c r="Q21" s="214">
        <f t="shared" si="0"/>
        <v>0</v>
      </c>
      <c r="R21" s="214">
        <f t="shared" si="1"/>
        <v>0</v>
      </c>
      <c r="S21" s="327">
        <f>R21*100/'Pri Sec_outstanding_6'!P21</f>
        <v>0</v>
      </c>
    </row>
    <row r="22" spans="1:21" ht="15" customHeight="1" x14ac:dyDescent="0.15">
      <c r="A22" s="210">
        <v>16</v>
      </c>
      <c r="B22" s="142" t="s">
        <v>45</v>
      </c>
      <c r="C22" s="281">
        <v>0</v>
      </c>
      <c r="D22" s="281">
        <v>0</v>
      </c>
      <c r="E22" s="321">
        <f>D22*100/OutstandingAgri_4!L22</f>
        <v>0</v>
      </c>
      <c r="F22" s="281">
        <v>1</v>
      </c>
      <c r="G22" s="281">
        <v>12</v>
      </c>
      <c r="H22" s="321">
        <f>G22*100/'Pri Sec_outstanding_6'!H22</f>
        <v>6.5405788412274486</v>
      </c>
      <c r="I22" s="281">
        <v>0</v>
      </c>
      <c r="J22" s="281">
        <v>0</v>
      </c>
      <c r="K22" s="321">
        <f>J22*100/'Pri Sec_outstanding_6'!F22</f>
        <v>0</v>
      </c>
      <c r="L22" s="281">
        <v>12</v>
      </c>
      <c r="M22" s="281">
        <v>190.42</v>
      </c>
      <c r="N22" s="321">
        <f>M22*100/MSMEoutstanding_5!N22</f>
        <v>2.1425742396010548</v>
      </c>
      <c r="O22" s="281">
        <v>0</v>
      </c>
      <c r="P22" s="281">
        <v>0</v>
      </c>
      <c r="Q22" s="214">
        <f t="shared" si="0"/>
        <v>13</v>
      </c>
      <c r="R22" s="214">
        <f t="shared" si="1"/>
        <v>202.42</v>
      </c>
      <c r="S22" s="327">
        <f>R22*100/'Pri Sec_outstanding_6'!P22</f>
        <v>2.1689398639403299</v>
      </c>
    </row>
    <row r="23" spans="1:21" ht="15" customHeight="1" x14ac:dyDescent="0.15">
      <c r="A23" s="210">
        <v>17</v>
      </c>
      <c r="B23" s="142" t="s">
        <v>182</v>
      </c>
      <c r="C23" s="224">
        <f>18142-8223+153</f>
        <v>10072</v>
      </c>
      <c r="D23" s="224">
        <f>2547-907</f>
        <v>1640</v>
      </c>
      <c r="E23" s="321">
        <f>D23*100/OutstandingAgri_4!L23</f>
        <v>2.8801742154159569</v>
      </c>
      <c r="F23" s="224">
        <v>25</v>
      </c>
      <c r="G23" s="224">
        <v>199</v>
      </c>
      <c r="H23" s="321">
        <f>G23*100/'Pri Sec_outstanding_6'!H23</f>
        <v>3.0526154318146954</v>
      </c>
      <c r="I23" s="224">
        <v>0</v>
      </c>
      <c r="J23" s="224">
        <v>0</v>
      </c>
      <c r="K23" s="321">
        <f>J23*100/'Pri Sec_outstanding_6'!F23</f>
        <v>0</v>
      </c>
      <c r="L23" s="224">
        <v>160</v>
      </c>
      <c r="M23" s="224">
        <v>1246</v>
      </c>
      <c r="N23" s="321">
        <f>M23*100/MSMEoutstanding_5!N23</f>
        <v>4.0307971014492754</v>
      </c>
      <c r="O23" s="224">
        <v>641</v>
      </c>
      <c r="P23" s="224">
        <v>42</v>
      </c>
      <c r="Q23" s="214">
        <f t="shared" si="0"/>
        <v>10898</v>
      </c>
      <c r="R23" s="214">
        <f t="shared" si="1"/>
        <v>3127</v>
      </c>
      <c r="S23" s="327">
        <f>R23*100/'Pri Sec_outstanding_6'!P23</f>
        <v>3.2573934602122985</v>
      </c>
    </row>
    <row r="24" spans="1:21" s="104" customFormat="1" ht="15" customHeight="1" x14ac:dyDescent="0.15">
      <c r="A24" s="210">
        <v>18</v>
      </c>
      <c r="B24" s="142" t="s">
        <v>183</v>
      </c>
      <c r="C24" s="281">
        <v>0</v>
      </c>
      <c r="D24" s="281">
        <v>0</v>
      </c>
      <c r="E24" s="321">
        <v>0</v>
      </c>
      <c r="F24" s="281">
        <v>0</v>
      </c>
      <c r="G24" s="281">
        <v>0</v>
      </c>
      <c r="H24" s="321">
        <f>G24*100/'Pri Sec_outstanding_6'!H24</f>
        <v>0</v>
      </c>
      <c r="I24" s="281">
        <v>0</v>
      </c>
      <c r="J24" s="281">
        <v>0</v>
      </c>
      <c r="K24" s="321">
        <v>0</v>
      </c>
      <c r="L24" s="281">
        <v>0</v>
      </c>
      <c r="M24" s="281">
        <v>0</v>
      </c>
      <c r="N24" s="321">
        <f>M24*100/MSMEoutstanding_5!N24</f>
        <v>0</v>
      </c>
      <c r="O24" s="281">
        <v>0</v>
      </c>
      <c r="P24" s="281">
        <v>0</v>
      </c>
      <c r="Q24" s="214">
        <f t="shared" si="0"/>
        <v>0</v>
      </c>
      <c r="R24" s="214">
        <f t="shared" si="1"/>
        <v>0</v>
      </c>
      <c r="S24" s="327">
        <f>R24*100/'Pri Sec_outstanding_6'!P24</f>
        <v>0</v>
      </c>
      <c r="T24" s="54"/>
      <c r="U24" s="54"/>
    </row>
    <row r="25" spans="1:21" ht="15" customHeight="1" x14ac:dyDescent="0.15">
      <c r="A25" s="210">
        <v>19</v>
      </c>
      <c r="B25" s="142" t="s">
        <v>184</v>
      </c>
      <c r="C25" s="281">
        <v>74</v>
      </c>
      <c r="D25" s="281">
        <v>195</v>
      </c>
      <c r="E25" s="321">
        <f>D25*100/OutstandingAgri_4!L25</f>
        <v>1.2770973868622699</v>
      </c>
      <c r="F25" s="281">
        <v>4</v>
      </c>
      <c r="G25" s="281">
        <v>44</v>
      </c>
      <c r="H25" s="321">
        <f>G25*100/'Pri Sec_outstanding_6'!H25</f>
        <v>2.9216467463479416</v>
      </c>
      <c r="I25" s="281">
        <v>0</v>
      </c>
      <c r="J25" s="281">
        <v>0</v>
      </c>
      <c r="K25" s="321">
        <f>J25*100/'Pri Sec_outstanding_6'!F25</f>
        <v>0</v>
      </c>
      <c r="L25" s="281">
        <v>6</v>
      </c>
      <c r="M25" s="281">
        <v>170</v>
      </c>
      <c r="N25" s="321">
        <f>M25*100/MSMEoutstanding_5!N25</f>
        <v>7.5858991521642123</v>
      </c>
      <c r="O25" s="281">
        <v>20</v>
      </c>
      <c r="P25" s="281">
        <v>52</v>
      </c>
      <c r="Q25" s="214">
        <f t="shared" si="0"/>
        <v>104</v>
      </c>
      <c r="R25" s="214">
        <f t="shared" si="1"/>
        <v>461</v>
      </c>
      <c r="S25" s="327">
        <f>R25*100/'Pri Sec_outstanding_6'!P25</f>
        <v>2.2339600697809652</v>
      </c>
    </row>
    <row r="26" spans="1:21" ht="15" customHeight="1" x14ac:dyDescent="0.15">
      <c r="A26" s="210">
        <v>20</v>
      </c>
      <c r="B26" s="142" t="s">
        <v>65</v>
      </c>
      <c r="C26" s="281">
        <v>55471</v>
      </c>
      <c r="D26" s="281">
        <v>56196.85</v>
      </c>
      <c r="E26" s="321">
        <f>D26*100/OutstandingAgri_4!L26</f>
        <v>9.8689857343541956</v>
      </c>
      <c r="F26" s="281">
        <v>221</v>
      </c>
      <c r="G26" s="281">
        <v>1374.77</v>
      </c>
      <c r="H26" s="321">
        <f>G26*100/'Pri Sec_outstanding_6'!H26</f>
        <v>1.2374370129195638</v>
      </c>
      <c r="I26" s="281">
        <v>41</v>
      </c>
      <c r="J26" s="281">
        <v>77.12</v>
      </c>
      <c r="K26" s="321">
        <f>J26*100/'Pri Sec_outstanding_6'!F26</f>
        <v>2.1972448965055489</v>
      </c>
      <c r="L26" s="281">
        <v>100</v>
      </c>
      <c r="M26" s="281">
        <v>1220.9100000000001</v>
      </c>
      <c r="N26" s="321">
        <f>M26*100/MSMEoutstanding_5!N26</f>
        <v>0.45094992901170311</v>
      </c>
      <c r="O26" s="281">
        <v>19369</v>
      </c>
      <c r="P26" s="281">
        <v>2294.98</v>
      </c>
      <c r="Q26" s="214">
        <f t="shared" si="0"/>
        <v>75202</v>
      </c>
      <c r="R26" s="214">
        <f t="shared" si="1"/>
        <v>61164.630000000005</v>
      </c>
      <c r="S26" s="327">
        <f>R26*100/'Pri Sec_outstanding_6'!P26</f>
        <v>6.27337960875803</v>
      </c>
    </row>
    <row r="27" spans="1:21" ht="15" customHeight="1" x14ac:dyDescent="0.15">
      <c r="A27" s="210">
        <v>21</v>
      </c>
      <c r="B27" s="142" t="s">
        <v>66</v>
      </c>
      <c r="C27" s="281">
        <v>11834</v>
      </c>
      <c r="D27" s="281">
        <v>32589</v>
      </c>
      <c r="E27" s="321">
        <f>D27*100/OutstandingAgri_4!L27</f>
        <v>5.9769899915817044</v>
      </c>
      <c r="F27" s="281">
        <v>433</v>
      </c>
      <c r="G27" s="281">
        <v>3340</v>
      </c>
      <c r="H27" s="321">
        <f>G27*100/'Pri Sec_outstanding_6'!H27</f>
        <v>5.9480348334015991</v>
      </c>
      <c r="I27" s="281">
        <v>7</v>
      </c>
      <c r="J27" s="281">
        <v>25</v>
      </c>
      <c r="K27" s="321">
        <f>J27*100/'Pri Sec_outstanding_6'!F27</f>
        <v>1.3491635186184565</v>
      </c>
      <c r="L27" s="281">
        <v>2051</v>
      </c>
      <c r="M27" s="281">
        <v>15187</v>
      </c>
      <c r="N27" s="321">
        <f>M27*100/MSMEoutstanding_5!N27</f>
        <v>2.896977697067733</v>
      </c>
      <c r="O27" s="281">
        <v>426</v>
      </c>
      <c r="P27" s="281">
        <v>119</v>
      </c>
      <c r="Q27" s="214">
        <f t="shared" si="0"/>
        <v>14751</v>
      </c>
      <c r="R27" s="214">
        <f t="shared" si="1"/>
        <v>51260</v>
      </c>
      <c r="S27" s="327">
        <f>R27*100/'Pri Sec_outstanding_6'!P27</f>
        <v>4.5334708291581949</v>
      </c>
    </row>
    <row r="28" spans="1:21" ht="15" customHeight="1" x14ac:dyDescent="0.15">
      <c r="A28" s="210">
        <v>22</v>
      </c>
      <c r="B28" s="142" t="s">
        <v>75</v>
      </c>
      <c r="C28" s="281">
        <v>1782</v>
      </c>
      <c r="D28" s="281">
        <v>5147</v>
      </c>
      <c r="E28" s="321">
        <f>D28*100/OutstandingAgri_4!L28</f>
        <v>7.5412814464256934</v>
      </c>
      <c r="F28" s="281">
        <v>86</v>
      </c>
      <c r="G28" s="281">
        <v>749</v>
      </c>
      <c r="H28" s="321">
        <f>G28*100/'Pri Sec_outstanding_6'!H28</f>
        <v>1.1824697672950018</v>
      </c>
      <c r="I28" s="281">
        <v>4</v>
      </c>
      <c r="J28" s="281">
        <v>16.32</v>
      </c>
      <c r="K28" s="321">
        <f>J28*100/'Pri Sec_outstanding_6'!F28</f>
        <v>0.72922252010723865</v>
      </c>
      <c r="L28" s="281">
        <v>1029</v>
      </c>
      <c r="M28" s="281">
        <v>7163</v>
      </c>
      <c r="N28" s="321">
        <f>M28*100/MSMEoutstanding_5!N28</f>
        <v>7.4641796488303029</v>
      </c>
      <c r="O28" s="281">
        <v>1</v>
      </c>
      <c r="P28" s="281">
        <v>0.34</v>
      </c>
      <c r="Q28" s="214">
        <f t="shared" si="0"/>
        <v>2902</v>
      </c>
      <c r="R28" s="214">
        <f t="shared" si="1"/>
        <v>13075.66</v>
      </c>
      <c r="S28" s="327">
        <f>R28*100/'Pri Sec_outstanding_6'!P28</f>
        <v>5.6897656008870285</v>
      </c>
    </row>
    <row r="29" spans="1:21" ht="15" customHeight="1" x14ac:dyDescent="0.15">
      <c r="A29" s="210">
        <v>23</v>
      </c>
      <c r="B29" s="142" t="s">
        <v>379</v>
      </c>
      <c r="C29" s="281">
        <v>0</v>
      </c>
      <c r="D29" s="281">
        <v>0</v>
      </c>
      <c r="E29" s="321">
        <f>D29*100/OutstandingAgri_4!L29</f>
        <v>0</v>
      </c>
      <c r="F29" s="281">
        <v>0</v>
      </c>
      <c r="G29" s="281">
        <v>0</v>
      </c>
      <c r="H29" s="321">
        <f>G29*100/'Pri Sec_outstanding_6'!H29</f>
        <v>0</v>
      </c>
      <c r="I29" s="281">
        <v>0</v>
      </c>
      <c r="J29" s="281">
        <v>0</v>
      </c>
      <c r="K29" s="321">
        <v>0</v>
      </c>
      <c r="L29" s="281">
        <v>0</v>
      </c>
      <c r="M29" s="281">
        <v>0</v>
      </c>
      <c r="N29" s="321">
        <f>M29*100/MSMEoutstanding_5!N29</f>
        <v>0</v>
      </c>
      <c r="O29" s="281">
        <v>0</v>
      </c>
      <c r="P29" s="281">
        <v>0</v>
      </c>
      <c r="Q29" s="214">
        <f t="shared" si="0"/>
        <v>0</v>
      </c>
      <c r="R29" s="214">
        <f t="shared" si="1"/>
        <v>0</v>
      </c>
      <c r="S29" s="327">
        <f>R29*100/'Pri Sec_outstanding_6'!P29</f>
        <v>0</v>
      </c>
    </row>
    <row r="30" spans="1:21" ht="15" customHeight="1" x14ac:dyDescent="0.15">
      <c r="A30" s="210">
        <v>24</v>
      </c>
      <c r="B30" s="142" t="s">
        <v>185</v>
      </c>
      <c r="C30" s="281">
        <v>6554</v>
      </c>
      <c r="D30" s="281">
        <v>1894</v>
      </c>
      <c r="E30" s="321">
        <f>D30*100/OutstandingAgri_4!L30</f>
        <v>0.84840286145590227</v>
      </c>
      <c r="F30" s="281">
        <v>47</v>
      </c>
      <c r="G30" s="281">
        <v>455</v>
      </c>
      <c r="H30" s="321">
        <f>G30*100/'Pri Sec_outstanding_6'!H30</f>
        <v>3.9644506404112572</v>
      </c>
      <c r="I30" s="281">
        <v>0</v>
      </c>
      <c r="J30" s="281">
        <v>0</v>
      </c>
      <c r="K30" s="321">
        <v>0</v>
      </c>
      <c r="L30" s="281">
        <v>8826</v>
      </c>
      <c r="M30" s="281">
        <v>2644</v>
      </c>
      <c r="N30" s="321">
        <f>M30*100/MSMEoutstanding_5!N30</f>
        <v>1.388546070425124</v>
      </c>
      <c r="O30" s="281">
        <v>0</v>
      </c>
      <c r="P30" s="281">
        <v>0</v>
      </c>
      <c r="Q30" s="214">
        <f t="shared" si="0"/>
        <v>15427</v>
      </c>
      <c r="R30" s="214">
        <f t="shared" si="1"/>
        <v>4993</v>
      </c>
      <c r="S30" s="327">
        <f>R30*100/'Pri Sec_outstanding_6'!P30</f>
        <v>1.1743703606137867</v>
      </c>
    </row>
    <row r="31" spans="1:21" ht="15" customHeight="1" x14ac:dyDescent="0.15">
      <c r="A31" s="210">
        <v>25</v>
      </c>
      <c r="B31" s="142" t="s">
        <v>186</v>
      </c>
      <c r="C31" s="281">
        <v>0</v>
      </c>
      <c r="D31" s="281">
        <v>0</v>
      </c>
      <c r="E31" s="321">
        <f>D31*100/OutstandingAgri_4!L31</f>
        <v>0</v>
      </c>
      <c r="F31" s="281">
        <v>7</v>
      </c>
      <c r="G31" s="281">
        <v>80</v>
      </c>
      <c r="H31" s="321">
        <f>G31*100/'Pri Sec_outstanding_6'!H31</f>
        <v>14.678899082568808</v>
      </c>
      <c r="I31" s="281">
        <v>0</v>
      </c>
      <c r="J31" s="281">
        <v>0</v>
      </c>
      <c r="K31" s="321">
        <f>J31*100/'Pri Sec_outstanding_6'!F31</f>
        <v>0</v>
      </c>
      <c r="L31" s="281">
        <v>95</v>
      </c>
      <c r="M31" s="281">
        <v>290</v>
      </c>
      <c r="N31" s="321">
        <f>M31*100/MSMEoutstanding_5!N31</f>
        <v>17.715332926084301</v>
      </c>
      <c r="O31" s="281">
        <v>28</v>
      </c>
      <c r="P31" s="281">
        <v>4</v>
      </c>
      <c r="Q31" s="214">
        <f t="shared" si="0"/>
        <v>130</v>
      </c>
      <c r="R31" s="214">
        <f t="shared" si="1"/>
        <v>374</v>
      </c>
      <c r="S31" s="327">
        <f>R31*100/'Pri Sec_outstanding_6'!P31</f>
        <v>16.275021758050478</v>
      </c>
    </row>
    <row r="32" spans="1:21" ht="15" customHeight="1" x14ac:dyDescent="0.15">
      <c r="A32" s="210">
        <v>26</v>
      </c>
      <c r="B32" s="142" t="s">
        <v>187</v>
      </c>
      <c r="C32" s="281">
        <v>1814</v>
      </c>
      <c r="D32" s="281">
        <v>9251.1299999999992</v>
      </c>
      <c r="E32" s="321">
        <f>D32*100/OutstandingAgri_4!L32</f>
        <v>50.672853294538179</v>
      </c>
      <c r="F32" s="281">
        <v>18</v>
      </c>
      <c r="G32" s="281">
        <v>153.91</v>
      </c>
      <c r="H32" s="321">
        <f>G32*100/'Pri Sec_outstanding_6'!H32</f>
        <v>5.1522303121600137</v>
      </c>
      <c r="I32" s="281">
        <v>1</v>
      </c>
      <c r="J32" s="281">
        <v>2.27</v>
      </c>
      <c r="K32" s="321">
        <f>J32*100/'Pri Sec_outstanding_6'!F32</f>
        <v>5.8915131066701267</v>
      </c>
      <c r="L32" s="281">
        <v>104</v>
      </c>
      <c r="M32" s="281">
        <v>2867.54</v>
      </c>
      <c r="N32" s="321">
        <f>M32*100/MSMEoutstanding_5!N32</f>
        <v>16.600276136748477</v>
      </c>
      <c r="O32" s="281">
        <v>239</v>
      </c>
      <c r="P32" s="281">
        <v>837.79</v>
      </c>
      <c r="Q32" s="214">
        <f t="shared" si="0"/>
        <v>2176</v>
      </c>
      <c r="R32" s="214">
        <f t="shared" si="1"/>
        <v>13112.64</v>
      </c>
      <c r="S32" s="327">
        <f>R32*100/'Pri Sec_outstanding_6'!P32</f>
        <v>34.007431889903458</v>
      </c>
    </row>
    <row r="33" spans="1:21" ht="15" customHeight="1" x14ac:dyDescent="0.15">
      <c r="A33" s="210">
        <v>27</v>
      </c>
      <c r="B33" s="142" t="s">
        <v>188</v>
      </c>
      <c r="C33" s="281">
        <v>0</v>
      </c>
      <c r="D33" s="281">
        <v>0</v>
      </c>
      <c r="E33" s="321">
        <f>D33*100/OutstandingAgri_4!L33</f>
        <v>0</v>
      </c>
      <c r="F33" s="281">
        <v>9</v>
      </c>
      <c r="G33" s="281">
        <v>138.69</v>
      </c>
      <c r="H33" s="321">
        <f>G33*100/'Pri Sec_outstanding_6'!H33</f>
        <v>7.6345500685342484</v>
      </c>
      <c r="I33" s="281">
        <v>0</v>
      </c>
      <c r="J33" s="281">
        <v>0</v>
      </c>
      <c r="K33" s="321">
        <f>J33*100/'Pri Sec_outstanding_6'!F33</f>
        <v>0</v>
      </c>
      <c r="L33" s="281">
        <v>5</v>
      </c>
      <c r="M33" s="281">
        <v>129.21</v>
      </c>
      <c r="N33" s="321">
        <f>M33*100/MSMEoutstanding_5!N33</f>
        <v>3.8834455397932199</v>
      </c>
      <c r="O33" s="281">
        <v>0</v>
      </c>
      <c r="P33" s="281">
        <v>0</v>
      </c>
      <c r="Q33" s="214">
        <f t="shared" si="0"/>
        <v>14</v>
      </c>
      <c r="R33" s="214">
        <f t="shared" si="1"/>
        <v>267.89999999999998</v>
      </c>
      <c r="S33" s="327">
        <f>R33*100/'Pri Sec_outstanding_6'!P33</f>
        <v>5.170078004685684</v>
      </c>
    </row>
    <row r="34" spans="1:21" ht="15" customHeight="1" x14ac:dyDescent="0.15">
      <c r="A34" s="210">
        <v>28</v>
      </c>
      <c r="B34" s="142" t="s">
        <v>67</v>
      </c>
      <c r="C34" s="281">
        <v>3375</v>
      </c>
      <c r="D34" s="281">
        <v>7712.09</v>
      </c>
      <c r="E34" s="321">
        <f>D34*100/OutstandingAgri_4!L34</f>
        <v>3.35287079472762</v>
      </c>
      <c r="F34" s="281">
        <v>0</v>
      </c>
      <c r="G34" s="281">
        <v>0</v>
      </c>
      <c r="H34" s="321">
        <f>G34*100/'Pri Sec_outstanding_6'!H34</f>
        <v>0</v>
      </c>
      <c r="I34" s="281">
        <v>0</v>
      </c>
      <c r="J34" s="281">
        <v>0</v>
      </c>
      <c r="K34" s="321">
        <v>0</v>
      </c>
      <c r="L34" s="281">
        <v>333</v>
      </c>
      <c r="M34" s="281">
        <v>5016.3500000000004</v>
      </c>
      <c r="N34" s="321">
        <f>M34*100/MSMEoutstanding_5!N34</f>
        <v>2.5514742840424867</v>
      </c>
      <c r="O34" s="281">
        <v>23</v>
      </c>
      <c r="P34" s="281">
        <v>1.91</v>
      </c>
      <c r="Q34" s="214">
        <f t="shared" si="0"/>
        <v>3731</v>
      </c>
      <c r="R34" s="214">
        <f t="shared" si="1"/>
        <v>12730.35</v>
      </c>
      <c r="S34" s="327">
        <f>R34*100/'Pri Sec_outstanding_6'!P34</f>
        <v>2.9251062642587833</v>
      </c>
    </row>
    <row r="35" spans="1:21" ht="15" customHeight="1" x14ac:dyDescent="0.15">
      <c r="A35" s="210">
        <v>29</v>
      </c>
      <c r="B35" s="142" t="s">
        <v>189</v>
      </c>
      <c r="C35" s="224">
        <v>0</v>
      </c>
      <c r="D35" s="224">
        <v>0</v>
      </c>
      <c r="E35" s="321">
        <f>D35*100/OutstandingAgri_4!L35</f>
        <v>0</v>
      </c>
      <c r="F35" s="224">
        <v>1</v>
      </c>
      <c r="G35" s="224">
        <v>8</v>
      </c>
      <c r="H35" s="321">
        <f>G35*100/'Pri Sec_outstanding_6'!H35</f>
        <v>10</v>
      </c>
      <c r="I35" s="224">
        <v>0</v>
      </c>
      <c r="J35" s="224">
        <v>0</v>
      </c>
      <c r="K35" s="321">
        <f>J35*100/'Pri Sec_outstanding_6'!F35</f>
        <v>0</v>
      </c>
      <c r="L35" s="224">
        <v>7</v>
      </c>
      <c r="M35" s="224">
        <v>102</v>
      </c>
      <c r="N35" s="321">
        <f>M35*100/MSMEoutstanding_5!N35</f>
        <v>11.551528878822197</v>
      </c>
      <c r="O35" s="224">
        <v>13</v>
      </c>
      <c r="P35" s="224">
        <v>390</v>
      </c>
      <c r="Q35" s="214">
        <f t="shared" si="0"/>
        <v>21</v>
      </c>
      <c r="R35" s="214">
        <f t="shared" si="1"/>
        <v>500</v>
      </c>
      <c r="S35" s="327">
        <f>R35*100/'Pri Sec_outstanding_6'!P35</f>
        <v>29.394473838918284</v>
      </c>
    </row>
    <row r="36" spans="1:21" ht="15" customHeight="1" x14ac:dyDescent="0.15">
      <c r="A36" s="210">
        <v>30</v>
      </c>
      <c r="B36" s="142" t="s">
        <v>190</v>
      </c>
      <c r="C36" s="224">
        <v>6249</v>
      </c>
      <c r="D36" s="224">
        <v>1471</v>
      </c>
      <c r="E36" s="321">
        <f>D36*100/OutstandingAgri_4!L36</f>
        <v>2.7921190494267711</v>
      </c>
      <c r="F36" s="224">
        <v>39</v>
      </c>
      <c r="G36" s="224">
        <v>0.74</v>
      </c>
      <c r="H36" s="321">
        <f>G36*100/'Pri Sec_outstanding_6'!H36</f>
        <v>2.96</v>
      </c>
      <c r="I36" s="224">
        <v>18</v>
      </c>
      <c r="J36" s="224">
        <v>0.24</v>
      </c>
      <c r="K36" s="321">
        <f>J36*100/'Pri Sec_outstanding_6'!F36</f>
        <v>0.51063829787234039</v>
      </c>
      <c r="L36" s="224">
        <v>3629</v>
      </c>
      <c r="M36" s="224">
        <v>410</v>
      </c>
      <c r="N36" s="321">
        <f>M36*100/MSMEoutstanding_5!N36</f>
        <v>6.8630733177100769</v>
      </c>
      <c r="O36" s="224">
        <v>770</v>
      </c>
      <c r="P36" s="224">
        <v>16</v>
      </c>
      <c r="Q36" s="214">
        <f t="shared" si="0"/>
        <v>10705</v>
      </c>
      <c r="R36" s="214">
        <f t="shared" si="1"/>
        <v>1897.98</v>
      </c>
      <c r="S36" s="327">
        <f>R36*100/'Pri Sec_outstanding_6'!P36</f>
        <v>2.8372524104940577</v>
      </c>
    </row>
    <row r="37" spans="1:21" ht="15" customHeight="1" x14ac:dyDescent="0.15">
      <c r="A37" s="210">
        <v>31</v>
      </c>
      <c r="B37" s="142" t="s">
        <v>191</v>
      </c>
      <c r="C37" s="281">
        <v>0</v>
      </c>
      <c r="D37" s="281">
        <v>0</v>
      </c>
      <c r="E37" s="321">
        <f>D37*100/OutstandingAgri_4!L37</f>
        <v>0</v>
      </c>
      <c r="F37" s="281">
        <v>0</v>
      </c>
      <c r="G37" s="281">
        <v>0</v>
      </c>
      <c r="H37" s="321">
        <f>G37*100/'Pri Sec_outstanding_6'!H37</f>
        <v>0</v>
      </c>
      <c r="I37" s="281">
        <v>1</v>
      </c>
      <c r="J37" s="281">
        <v>2</v>
      </c>
      <c r="K37" s="321">
        <f>J37*100/'Pri Sec_outstanding_6'!F37</f>
        <v>5.1282051282051286</v>
      </c>
      <c r="L37" s="281">
        <v>3</v>
      </c>
      <c r="M37" s="281">
        <v>14.95</v>
      </c>
      <c r="N37" s="321">
        <f>M37*100/MSMEoutstanding_5!N37</f>
        <v>0.27406049495875345</v>
      </c>
      <c r="O37" s="281">
        <v>1</v>
      </c>
      <c r="P37" s="281">
        <v>0.05</v>
      </c>
      <c r="Q37" s="214">
        <f t="shared" si="0"/>
        <v>5</v>
      </c>
      <c r="R37" s="214">
        <f t="shared" si="1"/>
        <v>17</v>
      </c>
      <c r="S37" s="327">
        <f>R37*100/'Pri Sec_outstanding_6'!P37</f>
        <v>0.24264915786468741</v>
      </c>
    </row>
    <row r="38" spans="1:21" ht="15" customHeight="1" x14ac:dyDescent="0.15">
      <c r="A38" s="210">
        <v>32</v>
      </c>
      <c r="B38" s="142" t="s">
        <v>71</v>
      </c>
      <c r="C38" s="281">
        <v>0</v>
      </c>
      <c r="D38" s="281">
        <v>0</v>
      </c>
      <c r="E38" s="321">
        <v>0</v>
      </c>
      <c r="F38" s="281">
        <v>0</v>
      </c>
      <c r="G38" s="281">
        <v>0</v>
      </c>
      <c r="H38" s="321">
        <f>G38*100/'Pri Sec_outstanding_6'!H38</f>
        <v>0</v>
      </c>
      <c r="I38" s="281">
        <v>0</v>
      </c>
      <c r="J38" s="281">
        <v>0</v>
      </c>
      <c r="K38" s="321">
        <v>0</v>
      </c>
      <c r="L38" s="281">
        <v>0</v>
      </c>
      <c r="M38" s="281">
        <v>0</v>
      </c>
      <c r="N38" s="321">
        <f>M38*100/MSMEoutstanding_5!N38</f>
        <v>0</v>
      </c>
      <c r="O38" s="281">
        <v>0</v>
      </c>
      <c r="P38" s="281">
        <v>0</v>
      </c>
      <c r="Q38" s="214">
        <f t="shared" si="0"/>
        <v>0</v>
      </c>
      <c r="R38" s="214">
        <f t="shared" si="1"/>
        <v>0</v>
      </c>
      <c r="S38" s="327">
        <f>R38*100/'Pri Sec_outstanding_6'!P38</f>
        <v>0</v>
      </c>
    </row>
    <row r="39" spans="1:21" ht="15" customHeight="1" x14ac:dyDescent="0.15">
      <c r="A39" s="210">
        <v>33</v>
      </c>
      <c r="B39" s="142" t="s">
        <v>192</v>
      </c>
      <c r="C39" s="281">
        <v>0</v>
      </c>
      <c r="D39" s="281">
        <v>0</v>
      </c>
      <c r="E39" s="321">
        <f>D39*100/OutstandingAgri_4!L39</f>
        <v>0</v>
      </c>
      <c r="F39" s="281">
        <v>0</v>
      </c>
      <c r="G39" s="281">
        <v>0</v>
      </c>
      <c r="H39" s="321">
        <f>G39*100/'Pri Sec_outstanding_6'!H39</f>
        <v>0</v>
      </c>
      <c r="I39" s="281">
        <v>0</v>
      </c>
      <c r="J39" s="281">
        <v>0</v>
      </c>
      <c r="K39" s="321">
        <v>0</v>
      </c>
      <c r="L39" s="281">
        <v>4</v>
      </c>
      <c r="M39" s="281">
        <v>38.72</v>
      </c>
      <c r="N39" s="321">
        <f>M39*100/MSMEoutstanding_5!N39</f>
        <v>1.7785943959577399</v>
      </c>
      <c r="O39" s="281">
        <v>0</v>
      </c>
      <c r="P39" s="281">
        <v>0</v>
      </c>
      <c r="Q39" s="214">
        <f t="shared" si="0"/>
        <v>4</v>
      </c>
      <c r="R39" s="214">
        <f t="shared" si="1"/>
        <v>38.72</v>
      </c>
      <c r="S39" s="327">
        <f>R39*100/'Pri Sec_outstanding_6'!P39</f>
        <v>1.294870680141526</v>
      </c>
    </row>
    <row r="40" spans="1:21" ht="15" customHeight="1" x14ac:dyDescent="0.15">
      <c r="A40" s="210">
        <v>34</v>
      </c>
      <c r="B40" s="142" t="s">
        <v>70</v>
      </c>
      <c r="C40" s="281">
        <v>9288</v>
      </c>
      <c r="D40" s="281">
        <v>2504</v>
      </c>
      <c r="E40" s="321">
        <f>D40*100/OutstandingAgri_4!L40</f>
        <v>4.7333698795863972</v>
      </c>
      <c r="F40" s="281">
        <v>38</v>
      </c>
      <c r="G40" s="281">
        <v>384</v>
      </c>
      <c r="H40" s="321">
        <f>G40*100/'Pri Sec_outstanding_6'!H40</f>
        <v>2.4748646558391338</v>
      </c>
      <c r="I40" s="281">
        <v>0</v>
      </c>
      <c r="J40" s="281">
        <v>0</v>
      </c>
      <c r="K40" s="321">
        <v>0</v>
      </c>
      <c r="L40" s="281">
        <v>55</v>
      </c>
      <c r="M40" s="281">
        <v>994</v>
      </c>
      <c r="N40" s="321">
        <f>M40*100/MSMEoutstanding_5!N40</f>
        <v>1.2450367624033969</v>
      </c>
      <c r="O40" s="281">
        <v>786</v>
      </c>
      <c r="P40" s="281">
        <v>109</v>
      </c>
      <c r="Q40" s="214">
        <f t="shared" si="0"/>
        <v>10167</v>
      </c>
      <c r="R40" s="214">
        <f t="shared" si="1"/>
        <v>3991</v>
      </c>
      <c r="S40" s="327">
        <f>R40*100/'Pri Sec_outstanding_6'!P40</f>
        <v>2.6702260760188139</v>
      </c>
    </row>
    <row r="41" spans="1:21" s="104" customFormat="1" ht="15" customHeight="1" x14ac:dyDescent="0.15">
      <c r="A41" s="291"/>
      <c r="B41" s="139" t="s">
        <v>213</v>
      </c>
      <c r="C41" s="282">
        <f>SUM(C19:C40)</f>
        <v>123909</v>
      </c>
      <c r="D41" s="282">
        <f t="shared" ref="D41:P41" si="3">SUM(D19:D40)</f>
        <v>138290.99000000002</v>
      </c>
      <c r="E41" s="322">
        <f>D41*100/OutstandingAgri_4!L41</f>
        <v>5.9877941925566702</v>
      </c>
      <c r="F41" s="282">
        <f t="shared" si="3"/>
        <v>1207</v>
      </c>
      <c r="G41" s="282">
        <f t="shared" si="3"/>
        <v>9582.7900000000009</v>
      </c>
      <c r="H41" s="322">
        <f>G41*100/'Pri Sec_outstanding_6'!H41</f>
        <v>1.5745081883120857</v>
      </c>
      <c r="I41" s="282">
        <f t="shared" si="3"/>
        <v>96</v>
      </c>
      <c r="J41" s="282">
        <f t="shared" si="3"/>
        <v>219.72</v>
      </c>
      <c r="K41" s="322">
        <f>J41*100/'Pri Sec_outstanding_6'!F41</f>
        <v>1.5314443753641813</v>
      </c>
      <c r="L41" s="282">
        <f t="shared" si="3"/>
        <v>24857</v>
      </c>
      <c r="M41" s="282">
        <f t="shared" si="3"/>
        <v>52356.17</v>
      </c>
      <c r="N41" s="322">
        <f>M41*100/MSMEoutstanding_5!N41</f>
        <v>2.6443971731447622</v>
      </c>
      <c r="O41" s="282">
        <f t="shared" si="3"/>
        <v>25926</v>
      </c>
      <c r="P41" s="282">
        <f t="shared" si="3"/>
        <v>4330.7700000000004</v>
      </c>
      <c r="Q41" s="215">
        <f t="shared" si="0"/>
        <v>175995</v>
      </c>
      <c r="R41" s="215">
        <f t="shared" si="1"/>
        <v>204780.44000000003</v>
      </c>
      <c r="S41" s="328">
        <f>R41*100/'Pri Sec_outstanding_6'!P41</f>
        <v>4.1045744301368972</v>
      </c>
      <c r="T41" s="54"/>
      <c r="U41" s="54"/>
    </row>
    <row r="42" spans="1:21" s="104" customFormat="1" ht="15" customHeight="1" x14ac:dyDescent="0.2">
      <c r="A42" s="291"/>
      <c r="B42" s="139" t="s">
        <v>311</v>
      </c>
      <c r="C42" s="209">
        <f>C41+C18</f>
        <v>611124</v>
      </c>
      <c r="D42" s="209">
        <f t="shared" ref="D42:P42" si="4">D41+D18</f>
        <v>1158485.73</v>
      </c>
      <c r="E42" s="322">
        <f>D42*100/OutstandingAgri_4!L42</f>
        <v>15.662596063511598</v>
      </c>
      <c r="F42" s="209">
        <f t="shared" si="4"/>
        <v>156109</v>
      </c>
      <c r="G42" s="209">
        <f t="shared" si="4"/>
        <v>157169.38999999998</v>
      </c>
      <c r="H42" s="322">
        <f>G42*100/'Pri Sec_outstanding_6'!H42</f>
        <v>6.0193354658492746</v>
      </c>
      <c r="I42" s="209">
        <f t="shared" si="4"/>
        <v>8552</v>
      </c>
      <c r="J42" s="209">
        <f t="shared" si="4"/>
        <v>18268.11</v>
      </c>
      <c r="K42" s="322">
        <f>J42*100/'Pri Sec_outstanding_6'!F42</f>
        <v>8.5334028532728343</v>
      </c>
      <c r="L42" s="209">
        <f t="shared" si="4"/>
        <v>283074</v>
      </c>
      <c r="M42" s="209">
        <f t="shared" si="4"/>
        <v>658161.91</v>
      </c>
      <c r="N42" s="322">
        <f>M42*100/MSMEoutstanding_5!N42</f>
        <v>11.668397549589729</v>
      </c>
      <c r="O42" s="209">
        <f t="shared" si="4"/>
        <v>38199</v>
      </c>
      <c r="P42" s="209">
        <f t="shared" si="4"/>
        <v>6344.2000000000007</v>
      </c>
      <c r="Q42" s="215">
        <f t="shared" si="0"/>
        <v>1097058</v>
      </c>
      <c r="R42" s="215">
        <f t="shared" si="1"/>
        <v>1998429.34</v>
      </c>
      <c r="S42" s="328">
        <f>R42*100/'Pri Sec_outstanding_6'!P42</f>
        <v>12.460232667012429</v>
      </c>
      <c r="T42" s="54"/>
      <c r="U42" s="54"/>
    </row>
    <row r="43" spans="1:21" ht="15" customHeight="1" x14ac:dyDescent="0.15">
      <c r="A43" s="210">
        <v>35</v>
      </c>
      <c r="B43" s="142" t="s">
        <v>193</v>
      </c>
      <c r="C43" s="281">
        <v>48347</v>
      </c>
      <c r="D43" s="281">
        <v>37351</v>
      </c>
      <c r="E43" s="321">
        <f>D43*100/OutstandingAgri_4!L43</f>
        <v>20.434054751953081</v>
      </c>
      <c r="F43" s="281">
        <v>28823</v>
      </c>
      <c r="G43" s="281">
        <v>19947</v>
      </c>
      <c r="H43" s="321">
        <f>G43*100/'Pri Sec_outstanding_6'!H43</f>
        <v>44.465002229157378</v>
      </c>
      <c r="I43" s="281">
        <v>112</v>
      </c>
      <c r="J43" s="281">
        <v>183</v>
      </c>
      <c r="K43" s="321">
        <f>J43*100/'Pri Sec_outstanding_6'!F43</f>
        <v>25.416666666666668</v>
      </c>
      <c r="L43" s="281">
        <v>15225</v>
      </c>
      <c r="M43" s="281">
        <v>6530</v>
      </c>
      <c r="N43" s="321">
        <f>M43*100/MSMEoutstanding_5!N43</f>
        <v>26.48764856204113</v>
      </c>
      <c r="O43" s="281">
        <v>5356</v>
      </c>
      <c r="P43" s="281">
        <v>3293</v>
      </c>
      <c r="Q43" s="214">
        <f t="shared" si="0"/>
        <v>97863</v>
      </c>
      <c r="R43" s="214">
        <f t="shared" si="1"/>
        <v>67304</v>
      </c>
      <c r="S43" s="327">
        <f>R43*100/'Pri Sec_outstanding_6'!P43</f>
        <v>26.20005060630243</v>
      </c>
    </row>
    <row r="44" spans="1:21" ht="15" customHeight="1" x14ac:dyDescent="0.15">
      <c r="A44" s="210">
        <v>36</v>
      </c>
      <c r="B44" s="142" t="s">
        <v>382</v>
      </c>
      <c r="C44" s="281">
        <v>73183</v>
      </c>
      <c r="D44" s="281">
        <v>120694.33</v>
      </c>
      <c r="E44" s="321">
        <f>D44*100/OutstandingAgri_4!L44</f>
        <v>18.521242131209782</v>
      </c>
      <c r="F44" s="281">
        <v>114857</v>
      </c>
      <c r="G44" s="281">
        <v>47254.34</v>
      </c>
      <c r="H44" s="321">
        <f>G44*100/'Pri Sec_outstanding_6'!H44</f>
        <v>36.631265638563463</v>
      </c>
      <c r="I44" s="281">
        <v>430</v>
      </c>
      <c r="J44" s="281">
        <v>954.59</v>
      </c>
      <c r="K44" s="321">
        <f>J44*100/'Pri Sec_outstanding_6'!F44</f>
        <v>13.673175315262668</v>
      </c>
      <c r="L44" s="281">
        <v>45894</v>
      </c>
      <c r="M44" s="281">
        <v>17005.22</v>
      </c>
      <c r="N44" s="321">
        <f>M44*100/MSMEoutstanding_5!N44</f>
        <v>12.091971461467747</v>
      </c>
      <c r="O44" s="281">
        <v>4683</v>
      </c>
      <c r="P44" s="281">
        <v>2147.04</v>
      </c>
      <c r="Q44" s="214">
        <f t="shared" si="0"/>
        <v>239047</v>
      </c>
      <c r="R44" s="214">
        <f t="shared" si="1"/>
        <v>188055.52</v>
      </c>
      <c r="S44" s="327">
        <f>R44*100/'Pri Sec_outstanding_6'!P44</f>
        <v>19.426204669538244</v>
      </c>
    </row>
    <row r="45" spans="1:21" s="104" customFormat="1" ht="15" customHeight="1" x14ac:dyDescent="0.15">
      <c r="A45" s="291"/>
      <c r="B45" s="139" t="s">
        <v>216</v>
      </c>
      <c r="C45" s="282">
        <f>SUM(C43:C44)</f>
        <v>121530</v>
      </c>
      <c r="D45" s="282">
        <f t="shared" ref="D45:P45" si="5">SUM(D43:D44)</f>
        <v>158045.33000000002</v>
      </c>
      <c r="E45" s="322">
        <f>D45*100/OutstandingAgri_4!L45</f>
        <v>18.940251943832997</v>
      </c>
      <c r="F45" s="282">
        <f t="shared" si="5"/>
        <v>143680</v>
      </c>
      <c r="G45" s="282">
        <f t="shared" si="5"/>
        <v>67201.34</v>
      </c>
      <c r="H45" s="322">
        <f>G45*100/'Pri Sec_outstanding_6'!H45</f>
        <v>38.652555084256861</v>
      </c>
      <c r="I45" s="282">
        <f t="shared" si="5"/>
        <v>542</v>
      </c>
      <c r="J45" s="282">
        <f t="shared" si="5"/>
        <v>1137.5900000000001</v>
      </c>
      <c r="K45" s="322">
        <f>J45*100/'Pri Sec_outstanding_6'!F45</f>
        <v>14.771056991643167</v>
      </c>
      <c r="L45" s="282">
        <f t="shared" si="5"/>
        <v>61119</v>
      </c>
      <c r="M45" s="282">
        <f t="shared" si="5"/>
        <v>23535.22</v>
      </c>
      <c r="N45" s="322">
        <f>M45*100/MSMEoutstanding_5!N45</f>
        <v>14.239147191051208</v>
      </c>
      <c r="O45" s="282">
        <f t="shared" si="5"/>
        <v>10039</v>
      </c>
      <c r="P45" s="282">
        <f t="shared" si="5"/>
        <v>5440.04</v>
      </c>
      <c r="Q45" s="215">
        <f t="shared" si="0"/>
        <v>336910</v>
      </c>
      <c r="R45" s="215">
        <f t="shared" si="1"/>
        <v>255359.52000000002</v>
      </c>
      <c r="S45" s="328">
        <f>R45*100/'Pri Sec_outstanding_6'!P45</f>
        <v>20.846768493776104</v>
      </c>
      <c r="T45" s="54"/>
      <c r="U45" s="54"/>
    </row>
    <row r="46" spans="1:21" ht="15" customHeight="1" x14ac:dyDescent="0.15">
      <c r="A46" s="210">
        <v>37</v>
      </c>
      <c r="B46" s="142" t="s">
        <v>312</v>
      </c>
      <c r="C46" s="281">
        <v>0</v>
      </c>
      <c r="D46" s="281">
        <v>528898</v>
      </c>
      <c r="E46" s="321">
        <f>D46*100/OutstandingAgri_4!L46</f>
        <v>17.256857334616264</v>
      </c>
      <c r="F46" s="281">
        <v>0</v>
      </c>
      <c r="G46" s="281">
        <v>5245</v>
      </c>
      <c r="H46" s="321">
        <f>G46*100/'Pri Sec_outstanding_6'!H46</f>
        <v>20.923089197383117</v>
      </c>
      <c r="I46" s="281">
        <v>0</v>
      </c>
      <c r="J46" s="281">
        <v>0</v>
      </c>
      <c r="K46" s="321">
        <f>J46*100/'Pri Sec_outstanding_6'!F46</f>
        <v>0</v>
      </c>
      <c r="L46" s="281">
        <v>0</v>
      </c>
      <c r="M46" s="281">
        <v>0</v>
      </c>
      <c r="N46" s="321">
        <f>M46*100/MSMEoutstanding_5!N46</f>
        <v>0</v>
      </c>
      <c r="O46" s="281">
        <v>0</v>
      </c>
      <c r="P46" s="281">
        <v>131221</v>
      </c>
      <c r="Q46" s="214">
        <f t="shared" si="0"/>
        <v>0</v>
      </c>
      <c r="R46" s="214">
        <f t="shared" si="1"/>
        <v>665364</v>
      </c>
      <c r="S46" s="327">
        <f>R46*100/'Pri Sec_outstanding_6'!P46</f>
        <v>19.187771762169493</v>
      </c>
    </row>
    <row r="47" spans="1:21" s="104" customFormat="1" ht="15" customHeight="1" x14ac:dyDescent="0.15">
      <c r="A47" s="291"/>
      <c r="B47" s="139" t="s">
        <v>214</v>
      </c>
      <c r="C47" s="282">
        <f>C46</f>
        <v>0</v>
      </c>
      <c r="D47" s="282">
        <f t="shared" ref="D47:P47" si="6">D46</f>
        <v>528898</v>
      </c>
      <c r="E47" s="322">
        <f>D47*100/OutstandingAgri_4!L47</f>
        <v>17.256857334616264</v>
      </c>
      <c r="F47" s="282">
        <f t="shared" si="6"/>
        <v>0</v>
      </c>
      <c r="G47" s="282">
        <f t="shared" si="6"/>
        <v>5245</v>
      </c>
      <c r="H47" s="322">
        <f>G47*100/'Pri Sec_outstanding_6'!H47</f>
        <v>20.923089197383117</v>
      </c>
      <c r="I47" s="282">
        <f t="shared" si="6"/>
        <v>0</v>
      </c>
      <c r="J47" s="282">
        <f t="shared" si="6"/>
        <v>0</v>
      </c>
      <c r="K47" s="322">
        <f>J47*100/'Pri Sec_outstanding_6'!F47</f>
        <v>0</v>
      </c>
      <c r="L47" s="282">
        <f t="shared" si="6"/>
        <v>0</v>
      </c>
      <c r="M47" s="282">
        <f t="shared" si="6"/>
        <v>0</v>
      </c>
      <c r="N47" s="322">
        <f>M47*100/MSMEoutstanding_5!N47</f>
        <v>0</v>
      </c>
      <c r="O47" s="282">
        <f t="shared" si="6"/>
        <v>0</v>
      </c>
      <c r="P47" s="282">
        <f t="shared" si="6"/>
        <v>131221</v>
      </c>
      <c r="Q47" s="215">
        <f t="shared" si="0"/>
        <v>0</v>
      </c>
      <c r="R47" s="215">
        <f t="shared" si="1"/>
        <v>665364</v>
      </c>
      <c r="S47" s="328">
        <f>R47*100/'Pri Sec_outstanding_6'!P47</f>
        <v>19.187771762169493</v>
      </c>
      <c r="T47" s="54"/>
      <c r="U47" s="54"/>
    </row>
    <row r="48" spans="1:21" s="104" customFormat="1" ht="15" customHeight="1" x14ac:dyDescent="0.15">
      <c r="A48" s="210">
        <v>38</v>
      </c>
      <c r="B48" s="142" t="s">
        <v>304</v>
      </c>
      <c r="C48" s="281">
        <v>2513</v>
      </c>
      <c r="D48" s="281">
        <v>4789.43</v>
      </c>
      <c r="E48" s="321">
        <f>D48*100/OutstandingAgri_4!L48</f>
        <v>3.7538233400385064</v>
      </c>
      <c r="F48" s="281">
        <v>23</v>
      </c>
      <c r="G48" s="281">
        <v>243.97</v>
      </c>
      <c r="H48" s="321">
        <f>G48*100/'Pri Sec_outstanding_6'!H48</f>
        <v>1.2485223149631282</v>
      </c>
      <c r="I48" s="281">
        <v>0</v>
      </c>
      <c r="J48" s="281">
        <v>0</v>
      </c>
      <c r="K48" s="321">
        <v>0</v>
      </c>
      <c r="L48" s="281">
        <v>6316</v>
      </c>
      <c r="M48" s="281">
        <v>20992.73</v>
      </c>
      <c r="N48" s="321">
        <f>M48*100/MSMEoutstanding_5!N48</f>
        <v>6.4391657717727604</v>
      </c>
      <c r="O48" s="281">
        <v>41</v>
      </c>
      <c r="P48" s="281">
        <v>70.61</v>
      </c>
      <c r="Q48" s="214">
        <f t="shared" si="0"/>
        <v>8893</v>
      </c>
      <c r="R48" s="214">
        <f t="shared" si="1"/>
        <v>26096.74</v>
      </c>
      <c r="S48" s="327">
        <f>R48*100/'Pri Sec_outstanding_6'!P48</f>
        <v>5.4916622890967179</v>
      </c>
      <c r="T48" s="54"/>
      <c r="U48" s="54"/>
    </row>
    <row r="49" spans="1:21" ht="15" customHeight="1" x14ac:dyDescent="0.15">
      <c r="A49" s="316">
        <v>39</v>
      </c>
      <c r="B49" s="317" t="s">
        <v>305</v>
      </c>
      <c r="C49" s="224">
        <v>2125</v>
      </c>
      <c r="D49" s="224">
        <v>532</v>
      </c>
      <c r="E49" s="321">
        <f>D49*100/OutstandingAgri_4!L49</f>
        <v>6.5204069126118398</v>
      </c>
      <c r="F49" s="224">
        <v>4</v>
      </c>
      <c r="G49" s="224">
        <v>29</v>
      </c>
      <c r="H49" s="321">
        <f>G49*100/'Pri Sec_outstanding_6'!H49</f>
        <v>0.84745762711864403</v>
      </c>
      <c r="I49" s="224">
        <v>0</v>
      </c>
      <c r="J49" s="224">
        <v>0</v>
      </c>
      <c r="K49" s="321">
        <v>0</v>
      </c>
      <c r="L49" s="224">
        <v>2</v>
      </c>
      <c r="M49" s="224">
        <v>11</v>
      </c>
      <c r="N49" s="321">
        <f>M49*100/MSMEoutstanding_5!N49</f>
        <v>0.11122345803842265</v>
      </c>
      <c r="O49" s="224">
        <v>3048</v>
      </c>
      <c r="P49" s="224">
        <v>468</v>
      </c>
      <c r="Q49" s="214">
        <f t="shared" si="0"/>
        <v>5179</v>
      </c>
      <c r="R49" s="214">
        <f t="shared" si="1"/>
        <v>1040</v>
      </c>
      <c r="S49" s="327">
        <f>R49*100/'Pri Sec_outstanding_6'!P49</f>
        <v>3.7588549949400027</v>
      </c>
    </row>
    <row r="50" spans="1:21" ht="15" customHeight="1" x14ac:dyDescent="0.15">
      <c r="A50" s="210">
        <v>40</v>
      </c>
      <c r="B50" s="142" t="s">
        <v>383</v>
      </c>
      <c r="C50" s="281">
        <v>9015</v>
      </c>
      <c r="D50" s="281">
        <v>1447.43</v>
      </c>
      <c r="E50" s="321">
        <f>D50*100/OutstandingAgri_4!L50</f>
        <v>8.0750584389139011</v>
      </c>
      <c r="F50" s="281">
        <v>76</v>
      </c>
      <c r="G50" s="281">
        <v>13.29</v>
      </c>
      <c r="H50" s="321">
        <f>G50*100/'Pri Sec_outstanding_6'!H50</f>
        <v>7.2567434749372071</v>
      </c>
      <c r="I50" s="281">
        <v>30</v>
      </c>
      <c r="J50" s="281">
        <v>5.21</v>
      </c>
      <c r="K50" s="321">
        <f>J50*100/'Pri Sec_outstanding_6'!F50</f>
        <v>25.627151992129861</v>
      </c>
      <c r="L50" s="281">
        <v>8829</v>
      </c>
      <c r="M50" s="281">
        <v>1615.61</v>
      </c>
      <c r="N50" s="321">
        <f>M50*100/MSMEoutstanding_5!N50</f>
        <v>8.9157074632993663</v>
      </c>
      <c r="O50" s="281">
        <v>3668</v>
      </c>
      <c r="P50" s="281">
        <v>341.69</v>
      </c>
      <c r="Q50" s="214">
        <f t="shared" si="0"/>
        <v>21618</v>
      </c>
      <c r="R50" s="214">
        <f t="shared" si="1"/>
        <v>3423.23</v>
      </c>
      <c r="S50" s="327">
        <f>R50*100/'Pri Sec_outstanding_6'!P50</f>
        <v>8.2912421010819308</v>
      </c>
    </row>
    <row r="51" spans="1:21" s="104" customFormat="1" ht="15" customHeight="1" x14ac:dyDescent="0.15">
      <c r="A51" s="210">
        <v>41</v>
      </c>
      <c r="B51" s="142" t="s">
        <v>306</v>
      </c>
      <c r="C51" s="281">
        <v>1551</v>
      </c>
      <c r="D51" s="281">
        <v>35.08</v>
      </c>
      <c r="E51" s="321">
        <f>D51*100/OutstandingAgri_4!L51</f>
        <v>0.12794939214920328</v>
      </c>
      <c r="F51" s="281">
        <v>0</v>
      </c>
      <c r="G51" s="281">
        <v>0</v>
      </c>
      <c r="H51" s="321">
        <v>0</v>
      </c>
      <c r="I51" s="281">
        <v>0</v>
      </c>
      <c r="J51" s="281">
        <v>0</v>
      </c>
      <c r="K51" s="321">
        <v>0</v>
      </c>
      <c r="L51" s="281">
        <v>0</v>
      </c>
      <c r="M51" s="281">
        <v>0</v>
      </c>
      <c r="N51" s="321">
        <f>M51*100/MSMEoutstanding_5!N51</f>
        <v>0</v>
      </c>
      <c r="O51" s="281">
        <v>2737</v>
      </c>
      <c r="P51" s="281">
        <v>43.2</v>
      </c>
      <c r="Q51" s="214">
        <f t="shared" si="0"/>
        <v>4288</v>
      </c>
      <c r="R51" s="214">
        <f t="shared" si="1"/>
        <v>78.28</v>
      </c>
      <c r="S51" s="327">
        <f>R51*100/'Pri Sec_outstanding_6'!P51</f>
        <v>0.14164716032547722</v>
      </c>
      <c r="T51" s="54"/>
      <c r="U51" s="54"/>
    </row>
    <row r="52" spans="1:21" ht="15" customHeight="1" x14ac:dyDescent="0.15">
      <c r="A52" s="210">
        <v>42</v>
      </c>
      <c r="B52" s="142" t="s">
        <v>307</v>
      </c>
      <c r="C52" s="281">
        <v>8554</v>
      </c>
      <c r="D52" s="281">
        <v>2996</v>
      </c>
      <c r="E52" s="321">
        <f>D52*100/OutstandingAgri_4!L52</f>
        <v>14.118755890669179</v>
      </c>
      <c r="F52" s="281">
        <v>283</v>
      </c>
      <c r="G52" s="281">
        <v>176</v>
      </c>
      <c r="H52" s="321">
        <f>G52*100/'Pri Sec_outstanding_6'!H52</f>
        <v>2.0825937758845106</v>
      </c>
      <c r="I52" s="281">
        <v>0</v>
      </c>
      <c r="J52" s="281">
        <v>0</v>
      </c>
      <c r="K52" s="321">
        <v>0</v>
      </c>
      <c r="L52" s="281">
        <v>373</v>
      </c>
      <c r="M52" s="281">
        <v>435</v>
      </c>
      <c r="N52" s="321">
        <f>M52*100/MSMEoutstanding_5!N52</f>
        <v>10.092807424593968</v>
      </c>
      <c r="O52" s="281">
        <v>17834</v>
      </c>
      <c r="P52" s="281">
        <v>5017</v>
      </c>
      <c r="Q52" s="214">
        <f t="shared" si="0"/>
        <v>27044</v>
      </c>
      <c r="R52" s="214">
        <f t="shared" si="1"/>
        <v>8624</v>
      </c>
      <c r="S52" s="327">
        <f>R52*100/'Pri Sec_outstanding_6'!P52</f>
        <v>10.88490325512123</v>
      </c>
    </row>
    <row r="53" spans="1:21" s="104" customFormat="1" ht="15" customHeight="1" x14ac:dyDescent="0.15">
      <c r="A53" s="210">
        <v>43</v>
      </c>
      <c r="B53" s="142" t="s">
        <v>308</v>
      </c>
      <c r="C53" s="281">
        <v>6699</v>
      </c>
      <c r="D53" s="281">
        <v>967.67</v>
      </c>
      <c r="E53" s="321">
        <f>D53*100/OutstandingAgri_4!L53</f>
        <v>9.5680925811117987</v>
      </c>
      <c r="F53" s="281">
        <v>2</v>
      </c>
      <c r="G53" s="281">
        <v>37.17</v>
      </c>
      <c r="H53" s="321">
        <f>G53*100/'Pri Sec_outstanding_6'!H53</f>
        <v>2.0899517011430917</v>
      </c>
      <c r="I53" s="281">
        <v>0</v>
      </c>
      <c r="J53" s="281">
        <v>0</v>
      </c>
      <c r="K53" s="321">
        <v>0</v>
      </c>
      <c r="L53" s="281">
        <v>2</v>
      </c>
      <c r="M53" s="281">
        <v>28.43</v>
      </c>
      <c r="N53" s="321">
        <f>M53*100/MSMEoutstanding_5!N53</f>
        <v>4.8080500591916122</v>
      </c>
      <c r="O53" s="281">
        <v>5430</v>
      </c>
      <c r="P53" s="281">
        <v>709.47</v>
      </c>
      <c r="Q53" s="214">
        <f t="shared" si="0"/>
        <v>12133</v>
      </c>
      <c r="R53" s="214">
        <f t="shared" si="1"/>
        <v>1742.74</v>
      </c>
      <c r="S53" s="327">
        <f>R53*100/'Pri Sec_outstanding_6'!P53</f>
        <v>8.2294969719149531</v>
      </c>
      <c r="T53" s="54"/>
      <c r="U53" s="54"/>
    </row>
    <row r="54" spans="1:21" ht="15" customHeight="1" x14ac:dyDescent="0.15">
      <c r="A54" s="210">
        <v>44</v>
      </c>
      <c r="B54" s="142" t="s">
        <v>300</v>
      </c>
      <c r="C54" s="281">
        <v>5201</v>
      </c>
      <c r="D54" s="281">
        <v>316.02999999999997</v>
      </c>
      <c r="E54" s="321">
        <f>D54*100/OutstandingAgri_4!L54</f>
        <v>4.1319050850294108</v>
      </c>
      <c r="F54" s="281">
        <v>258</v>
      </c>
      <c r="G54" s="281">
        <v>62.07</v>
      </c>
      <c r="H54" s="321">
        <f>G54*100/'Pri Sec_outstanding_6'!H54</f>
        <v>2.3873444206833949</v>
      </c>
      <c r="I54" s="281">
        <v>0</v>
      </c>
      <c r="J54" s="281">
        <v>0</v>
      </c>
      <c r="K54" s="321">
        <v>0</v>
      </c>
      <c r="L54" s="281">
        <v>2</v>
      </c>
      <c r="M54" s="281">
        <v>11.33</v>
      </c>
      <c r="N54" s="321">
        <f>M54*100/MSMEoutstanding_5!N54</f>
        <v>1.2995354705511268</v>
      </c>
      <c r="O54" s="281">
        <v>3404</v>
      </c>
      <c r="P54" s="281">
        <v>261.88</v>
      </c>
      <c r="Q54" s="214">
        <f t="shared" si="0"/>
        <v>8865</v>
      </c>
      <c r="R54" s="214">
        <f t="shared" si="1"/>
        <v>651.30999999999995</v>
      </c>
      <c r="S54" s="327">
        <f>R54*100/'Pri Sec_outstanding_6'!P54</f>
        <v>4.1869485951148508</v>
      </c>
    </row>
    <row r="55" spans="1:21" ht="15" customHeight="1" x14ac:dyDescent="0.15">
      <c r="A55" s="210">
        <v>45</v>
      </c>
      <c r="B55" s="142" t="s">
        <v>309</v>
      </c>
      <c r="C55" s="281">
        <v>1392</v>
      </c>
      <c r="D55" s="281">
        <v>364</v>
      </c>
      <c r="E55" s="321">
        <f>D55*100/OutstandingAgri_4!L55</f>
        <v>3.9973643751372721</v>
      </c>
      <c r="F55" s="281">
        <v>1</v>
      </c>
      <c r="G55" s="281">
        <v>6</v>
      </c>
      <c r="H55" s="321">
        <f>G55*100/'Pri Sec_outstanding_6'!H55</f>
        <v>1.431980906921241</v>
      </c>
      <c r="I55" s="281">
        <v>0</v>
      </c>
      <c r="J55" s="281">
        <v>0</v>
      </c>
      <c r="K55" s="321">
        <v>0</v>
      </c>
      <c r="L55" s="281">
        <v>0</v>
      </c>
      <c r="M55" s="281">
        <v>0</v>
      </c>
      <c r="N55" s="321">
        <f>M55*100/MSMEoutstanding_5!N55</f>
        <v>0</v>
      </c>
      <c r="O55" s="281">
        <v>2630</v>
      </c>
      <c r="P55" s="281">
        <v>748</v>
      </c>
      <c r="Q55" s="214">
        <f t="shared" si="0"/>
        <v>4023</v>
      </c>
      <c r="R55" s="214">
        <f t="shared" si="1"/>
        <v>1118</v>
      </c>
      <c r="S55" s="327">
        <f>R55*100/'Pri Sec_outstanding_6'!P55</f>
        <v>3.9406436149589368</v>
      </c>
    </row>
    <row r="56" spans="1:21" s="104" customFormat="1" ht="15" customHeight="1" x14ac:dyDescent="0.15">
      <c r="A56" s="291"/>
      <c r="B56" s="139" t="s">
        <v>310</v>
      </c>
      <c r="C56" s="282">
        <f>SUM(C48:C55)</f>
        <v>37050</v>
      </c>
      <c r="D56" s="282">
        <f t="shared" ref="D56:P56" si="7">SUM(D48:D55)</f>
        <v>11447.640000000001</v>
      </c>
      <c r="E56" s="322">
        <f>D56*100/OutstandingAgri_4!L56</f>
        <v>4.9951111996986786</v>
      </c>
      <c r="F56" s="282">
        <f t="shared" si="7"/>
        <v>647</v>
      </c>
      <c r="G56" s="282">
        <f t="shared" si="7"/>
        <v>567.50000000000011</v>
      </c>
      <c r="H56" s="322">
        <f>G56*100/'Pri Sec_outstanding_6'!H56</f>
        <v>1.5593096832993953</v>
      </c>
      <c r="I56" s="282">
        <f t="shared" si="7"/>
        <v>30</v>
      </c>
      <c r="J56" s="282">
        <f t="shared" si="7"/>
        <v>5.21</v>
      </c>
      <c r="K56" s="322">
        <f>J56*100/'Pri Sec_outstanding_6'!F56</f>
        <v>25.627151992129861</v>
      </c>
      <c r="L56" s="282">
        <f t="shared" si="7"/>
        <v>15524</v>
      </c>
      <c r="M56" s="282">
        <f t="shared" si="7"/>
        <v>23094.100000000002</v>
      </c>
      <c r="N56" s="322">
        <f>M56*100/MSMEoutstanding_5!N56</f>
        <v>6.3216396007644837</v>
      </c>
      <c r="O56" s="282">
        <f t="shared" si="7"/>
        <v>38792</v>
      </c>
      <c r="P56" s="282">
        <f t="shared" si="7"/>
        <v>7659.85</v>
      </c>
      <c r="Q56" s="215">
        <f t="shared" si="0"/>
        <v>92043</v>
      </c>
      <c r="R56" s="215">
        <f t="shared" si="1"/>
        <v>42774.3</v>
      </c>
      <c r="S56" s="328">
        <f>R56*100/'Pri Sec_outstanding_6'!P56</f>
        <v>5.7511012782887212</v>
      </c>
      <c r="T56" s="54"/>
      <c r="U56" s="54"/>
    </row>
    <row r="57" spans="1:21" s="104" customFormat="1" ht="15" customHeight="1" x14ac:dyDescent="0.15">
      <c r="A57" s="216"/>
      <c r="B57" s="216" t="s">
        <v>0</v>
      </c>
      <c r="C57" s="282">
        <f>C56+C47+C45+C42</f>
        <v>769704</v>
      </c>
      <c r="D57" s="282">
        <f t="shared" ref="D57:P57" si="8">D56+D47+D45+D42</f>
        <v>1856876.7</v>
      </c>
      <c r="E57" s="322">
        <f>D57*100/OutstandingAgri_4!L57</f>
        <v>16.111746604236295</v>
      </c>
      <c r="F57" s="282">
        <f t="shared" si="8"/>
        <v>300436</v>
      </c>
      <c r="G57" s="282">
        <f t="shared" si="8"/>
        <v>230183.22999999998</v>
      </c>
      <c r="H57" s="322">
        <f>G57*100/'Pri Sec_outstanding_6'!H57</f>
        <v>8.0868258268766144</v>
      </c>
      <c r="I57" s="282">
        <f t="shared" si="8"/>
        <v>9124</v>
      </c>
      <c r="J57" s="282">
        <f t="shared" si="8"/>
        <v>19410.91</v>
      </c>
      <c r="K57" s="322">
        <f>J57*100/'Pri Sec_outstanding_6'!F57</f>
        <v>8.7441856819388288</v>
      </c>
      <c r="L57" s="282">
        <f t="shared" si="8"/>
        <v>359717</v>
      </c>
      <c r="M57" s="282">
        <f t="shared" si="8"/>
        <v>704791.23</v>
      </c>
      <c r="N57" s="322">
        <f>M57*100/MSMEoutstanding_5!N57</f>
        <v>11.059800040971984</v>
      </c>
      <c r="O57" s="282">
        <f t="shared" si="8"/>
        <v>87030</v>
      </c>
      <c r="P57" s="282">
        <f t="shared" si="8"/>
        <v>150665.09000000003</v>
      </c>
      <c r="Q57" s="215">
        <f t="shared" si="0"/>
        <v>1526011</v>
      </c>
      <c r="R57" s="215">
        <f t="shared" si="1"/>
        <v>2961927.1599999997</v>
      </c>
      <c r="S57" s="328">
        <f>R57*100/'Pri Sec_outstanding_6'!P57</f>
        <v>13.792571938354069</v>
      </c>
      <c r="T57" s="54"/>
      <c r="U57" s="54"/>
    </row>
    <row r="58" spans="1:21" s="104" customFormat="1" ht="14" x14ac:dyDescent="0.2">
      <c r="A58" s="223"/>
      <c r="B58" s="223"/>
      <c r="C58" s="223"/>
      <c r="D58" s="223"/>
      <c r="E58" s="262"/>
      <c r="F58" s="223"/>
      <c r="G58" s="223" t="s">
        <v>1084</v>
      </c>
      <c r="H58" s="325"/>
      <c r="I58" s="223"/>
      <c r="J58" s="223"/>
      <c r="K58" s="325"/>
      <c r="L58" s="223"/>
      <c r="M58" s="223"/>
      <c r="N58" s="325"/>
      <c r="O58" s="223"/>
      <c r="P58" s="223"/>
      <c r="Q58" s="223"/>
      <c r="R58" s="223"/>
      <c r="S58" s="329"/>
      <c r="T58" s="54"/>
      <c r="U58" s="54"/>
    </row>
    <row r="59" spans="1:21" x14ac:dyDescent="0.2">
      <c r="D59" s="123"/>
      <c r="E59" s="123"/>
      <c r="G59" s="123"/>
      <c r="M59" s="123"/>
      <c r="P59" s="123"/>
      <c r="R59" s="123"/>
    </row>
    <row r="60" spans="1:21" x14ac:dyDescent="0.2">
      <c r="D60" s="123"/>
      <c r="E60" s="123"/>
    </row>
  </sheetData>
  <mergeCells count="11">
    <mergeCell ref="A4:A5"/>
    <mergeCell ref="B4:B5"/>
    <mergeCell ref="A1:R1"/>
    <mergeCell ref="A2:R2"/>
    <mergeCell ref="C4:D4"/>
    <mergeCell ref="F4:G4"/>
    <mergeCell ref="I4:J4"/>
    <mergeCell ref="L4:M4"/>
    <mergeCell ref="Q4:R4"/>
    <mergeCell ref="O4:P4"/>
    <mergeCell ref="P3:Q3"/>
  </mergeCells>
  <conditionalFormatting sqref="S1:T3 T4:T5 S6:T1048576 U6:U58">
    <cfRule type="cellIs" dxfId="17" priority="2" operator="greaterThan">
      <formula>100</formula>
    </cfRule>
    <cfRule type="cellIs" dxfId="16" priority="3" operator="greaterThan">
      <formula>100</formula>
    </cfRule>
    <cfRule type="cellIs" dxfId="15" priority="4" operator="greaterThan">
      <formula>100</formula>
    </cfRule>
  </conditionalFormatting>
  <conditionalFormatting sqref="T1:U1048576">
    <cfRule type="cellIs" dxfId="14" priority="1" operator="greaterThan">
      <formula>100</formula>
    </cfRule>
  </conditionalFormatting>
  <pageMargins left="1.2" right="0" top="0.75" bottom="0.25" header="0.3" footer="0.3"/>
  <pageSetup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59999389629810485"/>
  </sheetPr>
  <dimension ref="A1:K58"/>
  <sheetViews>
    <sheetView zoomScaleNormal="100" workbookViewId="0">
      <pane xSplit="1" ySplit="5" topLeftCell="B6" activePane="bottomRight" state="frozen"/>
      <selection activeCell="A35" sqref="A35:IV35"/>
      <selection pane="topRight" activeCell="A35" sqref="A35:IV35"/>
      <selection pane="bottomLeft" activeCell="A35" sqref="A35:IV35"/>
      <selection pane="bottomRight" activeCell="L1" sqref="L1:O1048576"/>
    </sheetView>
  </sheetViews>
  <sheetFormatPr baseColWidth="10" defaultColWidth="9.19921875" defaultRowHeight="13" x14ac:dyDescent="0.2"/>
  <cols>
    <col min="1" max="1" width="4.59765625" style="3" customWidth="1"/>
    <col min="2" max="2" width="27.59765625" style="3" customWidth="1"/>
    <col min="3" max="7" width="9.19921875" style="3"/>
    <col min="8" max="8" width="9" style="3" customWidth="1"/>
    <col min="9" max="9" width="8.796875" style="3" customWidth="1"/>
    <col min="10" max="10" width="9" style="3" customWidth="1"/>
    <col min="11" max="11" width="7.19921875" style="3" customWidth="1"/>
    <col min="12" max="13" width="9.19921875" style="3" customWidth="1"/>
    <col min="14" max="16384" width="9.19921875" style="3"/>
  </cols>
  <sheetData>
    <row r="1" spans="1:11" ht="15.75" customHeight="1" x14ac:dyDescent="0.2">
      <c r="A1" s="447" t="s">
        <v>1033</v>
      </c>
      <c r="B1" s="447"/>
      <c r="C1" s="447"/>
      <c r="D1" s="447"/>
      <c r="E1" s="447"/>
      <c r="F1" s="447"/>
      <c r="G1" s="447"/>
      <c r="H1" s="447"/>
      <c r="I1" s="447"/>
      <c r="J1" s="447"/>
      <c r="K1" s="295"/>
    </row>
    <row r="2" spans="1:11" x14ac:dyDescent="0.2">
      <c r="A2" s="454" t="s">
        <v>159</v>
      </c>
      <c r="B2" s="454"/>
      <c r="C2" s="454"/>
      <c r="D2" s="454"/>
      <c r="E2" s="454"/>
      <c r="F2" s="454"/>
      <c r="G2" s="454"/>
      <c r="H2" s="454"/>
      <c r="I2" s="454"/>
      <c r="J2" s="454"/>
      <c r="K2" s="298"/>
    </row>
    <row r="3" spans="1:11" ht="14" x14ac:dyDescent="0.2">
      <c r="A3" s="47"/>
      <c r="B3" s="21" t="s">
        <v>11</v>
      </c>
      <c r="C3" s="20"/>
      <c r="D3" s="20"/>
      <c r="E3" s="20"/>
      <c r="F3" s="20"/>
      <c r="G3" s="456" t="s">
        <v>158</v>
      </c>
      <c r="H3" s="456"/>
    </row>
    <row r="4" spans="1:11" ht="25" customHeight="1" x14ac:dyDescent="0.2">
      <c r="A4" s="455" t="s">
        <v>194</v>
      </c>
      <c r="B4" s="455" t="s">
        <v>2</v>
      </c>
      <c r="C4" s="455" t="s">
        <v>17</v>
      </c>
      <c r="D4" s="455"/>
      <c r="E4" s="455" t="s">
        <v>18</v>
      </c>
      <c r="F4" s="455"/>
      <c r="G4" s="455" t="s">
        <v>47</v>
      </c>
      <c r="H4" s="455"/>
      <c r="I4" s="455" t="s">
        <v>34</v>
      </c>
      <c r="J4" s="455"/>
      <c r="K4" s="299" t="s">
        <v>108</v>
      </c>
    </row>
    <row r="5" spans="1:11" ht="15" customHeight="1" x14ac:dyDescent="0.2">
      <c r="A5" s="455"/>
      <c r="B5" s="455"/>
      <c r="C5" s="299" t="s">
        <v>27</v>
      </c>
      <c r="D5" s="299" t="s">
        <v>15</v>
      </c>
      <c r="E5" s="299" t="s">
        <v>27</v>
      </c>
      <c r="F5" s="299" t="s">
        <v>15</v>
      </c>
      <c r="G5" s="299" t="s">
        <v>27</v>
      </c>
      <c r="H5" s="299" t="s">
        <v>15</v>
      </c>
      <c r="I5" s="299" t="s">
        <v>27</v>
      </c>
      <c r="J5" s="299" t="s">
        <v>15</v>
      </c>
      <c r="K5" s="299" t="s">
        <v>15</v>
      </c>
    </row>
    <row r="6" spans="1:11" ht="13" customHeight="1" x14ac:dyDescent="0.15">
      <c r="A6" s="105">
        <v>1</v>
      </c>
      <c r="B6" s="40" t="s">
        <v>51</v>
      </c>
      <c r="C6" s="286">
        <v>89</v>
      </c>
      <c r="D6" s="286">
        <v>4782</v>
      </c>
      <c r="E6" s="286">
        <v>5</v>
      </c>
      <c r="F6" s="286">
        <v>93</v>
      </c>
      <c r="G6" s="286">
        <v>965</v>
      </c>
      <c r="H6" s="286">
        <v>87397</v>
      </c>
      <c r="I6" s="286">
        <f>C6+E6+G6</f>
        <v>1059</v>
      </c>
      <c r="J6" s="286">
        <f>D6+F6+H6</f>
        <v>92272</v>
      </c>
      <c r="K6" s="318">
        <f>J6*100/NPS_OS_8!N6</f>
        <v>21.001122068794423</v>
      </c>
    </row>
    <row r="7" spans="1:11" ht="13" customHeight="1" x14ac:dyDescent="0.15">
      <c r="A7" s="105">
        <v>2</v>
      </c>
      <c r="B7" s="40" t="s">
        <v>52</v>
      </c>
      <c r="C7" s="286">
        <v>327</v>
      </c>
      <c r="D7" s="286">
        <v>8376.14</v>
      </c>
      <c r="E7" s="286">
        <v>23</v>
      </c>
      <c r="F7" s="286">
        <v>855</v>
      </c>
      <c r="G7" s="286">
        <f>14315+18</f>
        <v>14333</v>
      </c>
      <c r="H7" s="286">
        <f>35424.37+1091</f>
        <v>36515.370000000003</v>
      </c>
      <c r="I7" s="286">
        <f t="shared" ref="I7:I57" si="0">C7+E7+G7</f>
        <v>14683</v>
      </c>
      <c r="J7" s="286">
        <f t="shared" ref="J7:J57" si="1">D7+F7+H7</f>
        <v>45746.51</v>
      </c>
      <c r="K7" s="318">
        <f>J7*100/NPS_OS_8!N7</f>
        <v>4.502380986570258</v>
      </c>
    </row>
    <row r="8" spans="1:11" ht="13" customHeight="1" x14ac:dyDescent="0.15">
      <c r="A8" s="105">
        <v>3</v>
      </c>
      <c r="B8" s="40" t="s">
        <v>53</v>
      </c>
      <c r="C8" s="286">
        <v>13</v>
      </c>
      <c r="D8" s="286">
        <v>622.66999999999996</v>
      </c>
      <c r="E8" s="286">
        <v>3</v>
      </c>
      <c r="F8" s="286">
        <v>14.94</v>
      </c>
      <c r="G8" s="286">
        <v>6832</v>
      </c>
      <c r="H8" s="286">
        <v>4175.09</v>
      </c>
      <c r="I8" s="286">
        <f t="shared" si="0"/>
        <v>6848</v>
      </c>
      <c r="J8" s="286">
        <f t="shared" si="1"/>
        <v>4812.7</v>
      </c>
      <c r="K8" s="318">
        <f>J8*100/NPS_OS_8!N8</f>
        <v>2.2825364359488556</v>
      </c>
    </row>
    <row r="9" spans="1:11" ht="13" customHeight="1" x14ac:dyDescent="0.15">
      <c r="A9" s="105">
        <v>4</v>
      </c>
      <c r="B9" s="40" t="s">
        <v>54</v>
      </c>
      <c r="C9" s="290">
        <v>278</v>
      </c>
      <c r="D9" s="290">
        <v>799</v>
      </c>
      <c r="E9" s="290">
        <v>2</v>
      </c>
      <c r="F9" s="290">
        <v>23</v>
      </c>
      <c r="G9" s="290">
        <f>4430-2389+258</f>
        <v>2299</v>
      </c>
      <c r="H9" s="290">
        <f>20606+4932-154</f>
        <v>25384</v>
      </c>
      <c r="I9" s="290">
        <f t="shared" si="0"/>
        <v>2579</v>
      </c>
      <c r="J9" s="290">
        <f t="shared" si="1"/>
        <v>26206</v>
      </c>
      <c r="K9" s="318">
        <f>J9*100/NPS_OS_8!N9</f>
        <v>2.9985422640447252</v>
      </c>
    </row>
    <row r="10" spans="1:11" ht="12" customHeight="1" x14ac:dyDescent="0.15">
      <c r="A10" s="105">
        <v>5</v>
      </c>
      <c r="B10" s="40" t="s">
        <v>55</v>
      </c>
      <c r="C10" s="286">
        <v>38</v>
      </c>
      <c r="D10" s="286">
        <v>702</v>
      </c>
      <c r="E10" s="286">
        <v>19</v>
      </c>
      <c r="F10" s="286">
        <v>282</v>
      </c>
      <c r="G10" s="286">
        <v>3959</v>
      </c>
      <c r="H10" s="286">
        <v>48312</v>
      </c>
      <c r="I10" s="286">
        <f t="shared" si="0"/>
        <v>4016</v>
      </c>
      <c r="J10" s="286">
        <f t="shared" si="1"/>
        <v>49296</v>
      </c>
      <c r="K10" s="318">
        <f>J10*100/NPS_OS_8!N10</f>
        <v>13.819668132847783</v>
      </c>
    </row>
    <row r="11" spans="1:11" ht="13" customHeight="1" x14ac:dyDescent="0.15">
      <c r="A11" s="105">
        <v>6</v>
      </c>
      <c r="B11" s="40" t="s">
        <v>56</v>
      </c>
      <c r="C11" s="286">
        <v>210</v>
      </c>
      <c r="D11" s="286">
        <v>4149</v>
      </c>
      <c r="E11" s="286">
        <v>115</v>
      </c>
      <c r="F11" s="286">
        <v>331</v>
      </c>
      <c r="G11" s="286">
        <v>398</v>
      </c>
      <c r="H11" s="286">
        <v>12659</v>
      </c>
      <c r="I11" s="286">
        <f t="shared" si="0"/>
        <v>723</v>
      </c>
      <c r="J11" s="286">
        <f t="shared" si="1"/>
        <v>17139</v>
      </c>
      <c r="K11" s="318">
        <f>J11*100/NPS_OS_8!N11</f>
        <v>2.8273733422855551</v>
      </c>
    </row>
    <row r="12" spans="1:11" ht="13" customHeight="1" x14ac:dyDescent="0.15">
      <c r="A12" s="105">
        <v>7</v>
      </c>
      <c r="B12" s="40" t="s">
        <v>57</v>
      </c>
      <c r="C12" s="286">
        <v>0</v>
      </c>
      <c r="D12" s="286">
        <v>0</v>
      </c>
      <c r="E12" s="286">
        <v>0</v>
      </c>
      <c r="F12" s="286">
        <v>0</v>
      </c>
      <c r="G12" s="286">
        <v>163</v>
      </c>
      <c r="H12" s="286">
        <v>5548</v>
      </c>
      <c r="I12" s="286">
        <f t="shared" si="0"/>
        <v>163</v>
      </c>
      <c r="J12" s="286">
        <f t="shared" si="1"/>
        <v>5548</v>
      </c>
      <c r="K12" s="318">
        <f>J12*100/NPS_OS_8!N12</f>
        <v>15.073629299570722</v>
      </c>
    </row>
    <row r="13" spans="1:11" ht="13" customHeight="1" x14ac:dyDescent="0.15">
      <c r="A13" s="105">
        <v>8</v>
      </c>
      <c r="B13" s="40" t="s">
        <v>178</v>
      </c>
      <c r="C13" s="286">
        <v>4</v>
      </c>
      <c r="D13" s="286">
        <v>133</v>
      </c>
      <c r="E13" s="286">
        <v>0</v>
      </c>
      <c r="F13" s="286">
        <v>0</v>
      </c>
      <c r="G13" s="286">
        <v>485</v>
      </c>
      <c r="H13" s="286">
        <v>403</v>
      </c>
      <c r="I13" s="286">
        <f t="shared" si="0"/>
        <v>489</v>
      </c>
      <c r="J13" s="286">
        <f t="shared" si="1"/>
        <v>536</v>
      </c>
      <c r="K13" s="318">
        <f>J13*100/NPS_OS_8!N13</f>
        <v>1.8766192843638401</v>
      </c>
    </row>
    <row r="14" spans="1:11" ht="13" customHeight="1" x14ac:dyDescent="0.15">
      <c r="A14" s="105">
        <v>9</v>
      </c>
      <c r="B14" s="40" t="s">
        <v>58</v>
      </c>
      <c r="C14" s="286">
        <v>395</v>
      </c>
      <c r="D14" s="286">
        <v>9469.5400000000009</v>
      </c>
      <c r="E14" s="286">
        <v>0</v>
      </c>
      <c r="F14" s="286">
        <v>0</v>
      </c>
      <c r="G14" s="286">
        <v>6255</v>
      </c>
      <c r="H14" s="286">
        <v>191223.44</v>
      </c>
      <c r="I14" s="286">
        <f t="shared" si="0"/>
        <v>6650</v>
      </c>
      <c r="J14" s="286">
        <f t="shared" si="1"/>
        <v>200692.98</v>
      </c>
      <c r="K14" s="318">
        <f>J14*100/NPS_OS_8!N14</f>
        <v>14.090930770267899</v>
      </c>
    </row>
    <row r="15" spans="1:11" ht="13" customHeight="1" x14ac:dyDescent="0.15">
      <c r="A15" s="105">
        <v>10</v>
      </c>
      <c r="B15" s="40" t="s">
        <v>64</v>
      </c>
      <c r="C15" s="286">
        <v>727</v>
      </c>
      <c r="D15" s="286">
        <v>4650</v>
      </c>
      <c r="E15" s="286">
        <v>0</v>
      </c>
      <c r="F15" s="286">
        <v>45</v>
      </c>
      <c r="G15" s="286">
        <v>21830</v>
      </c>
      <c r="H15" s="286">
        <v>101630</v>
      </c>
      <c r="I15" s="286">
        <f t="shared" si="0"/>
        <v>22557</v>
      </c>
      <c r="J15" s="286">
        <f t="shared" si="1"/>
        <v>106325</v>
      </c>
      <c r="K15" s="318">
        <f>J15*100/NPS_OS_8!N15</f>
        <v>2.6182148957897526</v>
      </c>
    </row>
    <row r="16" spans="1:11" ht="13" customHeight="1" x14ac:dyDescent="0.15">
      <c r="A16" s="105">
        <v>11</v>
      </c>
      <c r="B16" s="40" t="s">
        <v>179</v>
      </c>
      <c r="C16" s="286">
        <v>22</v>
      </c>
      <c r="D16" s="286">
        <v>763</v>
      </c>
      <c r="E16" s="286">
        <v>0</v>
      </c>
      <c r="F16" s="286">
        <v>0</v>
      </c>
      <c r="G16" s="286">
        <f>391+1</f>
        <v>392</v>
      </c>
      <c r="H16" s="286">
        <f>28232+7240</f>
        <v>35472</v>
      </c>
      <c r="I16" s="286">
        <f t="shared" si="0"/>
        <v>414</v>
      </c>
      <c r="J16" s="286">
        <f t="shared" si="1"/>
        <v>36235</v>
      </c>
      <c r="K16" s="318">
        <f>J16*100/NPS_OS_8!N16</f>
        <v>31.699166294867421</v>
      </c>
    </row>
    <row r="17" spans="1:11" ht="13" customHeight="1" x14ac:dyDescent="0.15">
      <c r="A17" s="105">
        <v>12</v>
      </c>
      <c r="B17" s="40" t="s">
        <v>60</v>
      </c>
      <c r="C17" s="286">
        <v>220</v>
      </c>
      <c r="D17" s="286">
        <v>986</v>
      </c>
      <c r="E17" s="286">
        <v>7</v>
      </c>
      <c r="F17" s="286">
        <v>9</v>
      </c>
      <c r="G17" s="286">
        <v>4230</v>
      </c>
      <c r="H17" s="286">
        <v>27830</v>
      </c>
      <c r="I17" s="286">
        <f t="shared" si="0"/>
        <v>4457</v>
      </c>
      <c r="J17" s="286">
        <f t="shared" si="1"/>
        <v>28825</v>
      </c>
      <c r="K17" s="318">
        <f>J17*100/NPS_OS_8!N17</f>
        <v>4.8938131675407339</v>
      </c>
    </row>
    <row r="18" spans="1:11" s="74" customFormat="1" ht="13" customHeight="1" x14ac:dyDescent="0.15">
      <c r="A18" s="293"/>
      <c r="B18" s="42" t="s">
        <v>215</v>
      </c>
      <c r="C18" s="287">
        <f>SUM(C6:C17)</f>
        <v>2323</v>
      </c>
      <c r="D18" s="287">
        <f t="shared" ref="D18:H18" si="2">SUM(D6:D17)</f>
        <v>35432.35</v>
      </c>
      <c r="E18" s="287">
        <f t="shared" si="2"/>
        <v>174</v>
      </c>
      <c r="F18" s="287">
        <f t="shared" si="2"/>
        <v>1652.94</v>
      </c>
      <c r="G18" s="287">
        <f t="shared" si="2"/>
        <v>62141</v>
      </c>
      <c r="H18" s="287">
        <f t="shared" si="2"/>
        <v>576548.9</v>
      </c>
      <c r="I18" s="287">
        <f t="shared" si="0"/>
        <v>64638</v>
      </c>
      <c r="J18" s="287">
        <f t="shared" si="1"/>
        <v>613634.19000000006</v>
      </c>
      <c r="K18" s="319">
        <f>J18*100/NPS_OS_8!N18</f>
        <v>6.2891397901076589</v>
      </c>
    </row>
    <row r="19" spans="1:11" ht="13" customHeight="1" x14ac:dyDescent="0.15">
      <c r="A19" s="105">
        <v>13</v>
      </c>
      <c r="B19" s="40" t="s">
        <v>41</v>
      </c>
      <c r="C19" s="286">
        <v>0</v>
      </c>
      <c r="D19" s="286">
        <v>0</v>
      </c>
      <c r="E19" s="286">
        <v>0</v>
      </c>
      <c r="F19" s="286">
        <v>0</v>
      </c>
      <c r="G19" s="286">
        <f>1448+350</f>
        <v>1798</v>
      </c>
      <c r="H19" s="286">
        <f>882.32+9702</f>
        <v>10584.32</v>
      </c>
      <c r="I19" s="286">
        <f t="shared" si="0"/>
        <v>1798</v>
      </c>
      <c r="J19" s="286">
        <f t="shared" si="1"/>
        <v>10584.32</v>
      </c>
      <c r="K19" s="318">
        <f>J19*100/NPS_OS_8!N19</f>
        <v>2.0425421810611044</v>
      </c>
    </row>
    <row r="20" spans="1:11" ht="13" customHeight="1" x14ac:dyDescent="0.15">
      <c r="A20" s="105">
        <v>14</v>
      </c>
      <c r="B20" s="40" t="s">
        <v>180</v>
      </c>
      <c r="C20" s="286">
        <v>0</v>
      </c>
      <c r="D20" s="286">
        <v>0</v>
      </c>
      <c r="E20" s="286">
        <v>0</v>
      </c>
      <c r="F20" s="286">
        <v>0</v>
      </c>
      <c r="G20" s="286">
        <v>0</v>
      </c>
      <c r="H20" s="286">
        <v>0</v>
      </c>
      <c r="I20" s="286">
        <f t="shared" si="0"/>
        <v>0</v>
      </c>
      <c r="J20" s="286">
        <f t="shared" si="1"/>
        <v>0</v>
      </c>
      <c r="K20" s="318">
        <f>J20*100/NPS_OS_8!N20</f>
        <v>0</v>
      </c>
    </row>
    <row r="21" spans="1:11" ht="13" customHeight="1" x14ac:dyDescent="0.15">
      <c r="A21" s="105">
        <v>15</v>
      </c>
      <c r="B21" s="40" t="s">
        <v>181</v>
      </c>
      <c r="C21" s="286">
        <v>0</v>
      </c>
      <c r="D21" s="286">
        <v>0</v>
      </c>
      <c r="E21" s="286">
        <v>0</v>
      </c>
      <c r="F21" s="286">
        <v>0</v>
      </c>
      <c r="G21" s="286">
        <v>23</v>
      </c>
      <c r="H21" s="286">
        <v>74</v>
      </c>
      <c r="I21" s="286">
        <f t="shared" si="0"/>
        <v>23</v>
      </c>
      <c r="J21" s="286">
        <f t="shared" si="1"/>
        <v>74</v>
      </c>
      <c r="K21" s="318">
        <f>J21*100/NPS_OS_8!N21</f>
        <v>4.7784479084604357</v>
      </c>
    </row>
    <row r="22" spans="1:11" ht="13" customHeight="1" x14ac:dyDescent="0.15">
      <c r="A22" s="105">
        <v>16</v>
      </c>
      <c r="B22" s="40" t="s">
        <v>45</v>
      </c>
      <c r="C22" s="286">
        <v>1</v>
      </c>
      <c r="D22" s="286">
        <v>37</v>
      </c>
      <c r="E22" s="286">
        <v>0</v>
      </c>
      <c r="F22" s="286">
        <v>0</v>
      </c>
      <c r="G22" s="286">
        <v>3</v>
      </c>
      <c r="H22" s="286">
        <v>42</v>
      </c>
      <c r="I22" s="286">
        <f t="shared" si="0"/>
        <v>4</v>
      </c>
      <c r="J22" s="286">
        <f t="shared" si="1"/>
        <v>79</v>
      </c>
      <c r="K22" s="318">
        <f>J22*100/NPS_OS_8!N22</f>
        <v>2.5858908557662095</v>
      </c>
    </row>
    <row r="23" spans="1:11" ht="13" customHeight="1" x14ac:dyDescent="0.15">
      <c r="A23" s="105">
        <v>17</v>
      </c>
      <c r="B23" s="40" t="s">
        <v>182</v>
      </c>
      <c r="C23" s="290">
        <v>3</v>
      </c>
      <c r="D23" s="290">
        <v>76</v>
      </c>
      <c r="E23" s="290">
        <v>0</v>
      </c>
      <c r="F23" s="290">
        <v>0</v>
      </c>
      <c r="G23" s="290">
        <v>0</v>
      </c>
      <c r="H23" s="290">
        <v>0</v>
      </c>
      <c r="I23" s="290">
        <f t="shared" si="0"/>
        <v>3</v>
      </c>
      <c r="J23" s="290">
        <f t="shared" si="1"/>
        <v>76</v>
      </c>
      <c r="K23" s="318">
        <f>J23*100/NPS_OS_8!N23</f>
        <v>0.65438264163940074</v>
      </c>
    </row>
    <row r="24" spans="1:11" ht="13" customHeight="1" x14ac:dyDescent="0.15">
      <c r="A24" s="105">
        <v>18</v>
      </c>
      <c r="B24" s="40" t="s">
        <v>183</v>
      </c>
      <c r="C24" s="286">
        <v>0</v>
      </c>
      <c r="D24" s="286">
        <v>0</v>
      </c>
      <c r="E24" s="286">
        <v>0</v>
      </c>
      <c r="F24" s="286">
        <v>0</v>
      </c>
      <c r="G24" s="286">
        <v>0</v>
      </c>
      <c r="H24" s="286">
        <v>0</v>
      </c>
      <c r="I24" s="286">
        <f t="shared" si="0"/>
        <v>0</v>
      </c>
      <c r="J24" s="286">
        <f t="shared" si="1"/>
        <v>0</v>
      </c>
      <c r="K24" s="318">
        <f>J24*100/NPS_OS_8!N24</f>
        <v>0</v>
      </c>
    </row>
    <row r="25" spans="1:11" ht="13" customHeight="1" x14ac:dyDescent="0.15">
      <c r="A25" s="105">
        <v>19</v>
      </c>
      <c r="B25" s="40" t="s">
        <v>184</v>
      </c>
      <c r="C25" s="286">
        <v>1</v>
      </c>
      <c r="D25" s="286">
        <v>29</v>
      </c>
      <c r="E25" s="286">
        <v>0</v>
      </c>
      <c r="F25" s="286">
        <v>0</v>
      </c>
      <c r="G25" s="286">
        <v>130</v>
      </c>
      <c r="H25" s="286">
        <v>1843</v>
      </c>
      <c r="I25" s="286">
        <f t="shared" si="0"/>
        <v>131</v>
      </c>
      <c r="J25" s="286">
        <f t="shared" si="1"/>
        <v>1872</v>
      </c>
      <c r="K25" s="318">
        <f>J25*100/NPS_OS_8!N25</f>
        <v>7.1346901440658588</v>
      </c>
    </row>
    <row r="26" spans="1:11" ht="13" customHeight="1" x14ac:dyDescent="0.15">
      <c r="A26" s="105">
        <v>20</v>
      </c>
      <c r="B26" s="40" t="s">
        <v>65</v>
      </c>
      <c r="C26" s="286">
        <v>29</v>
      </c>
      <c r="D26" s="286">
        <v>480.82</v>
      </c>
      <c r="E26" s="286">
        <v>0</v>
      </c>
      <c r="F26" s="286">
        <v>0</v>
      </c>
      <c r="G26" s="286">
        <v>16112</v>
      </c>
      <c r="H26" s="286">
        <v>30024.26</v>
      </c>
      <c r="I26" s="286">
        <f t="shared" si="0"/>
        <v>16141</v>
      </c>
      <c r="J26" s="286">
        <f t="shared" si="1"/>
        <v>30505.079999999998</v>
      </c>
      <c r="K26" s="318">
        <f>J26*100/NPS_OS_8!N26</f>
        <v>2.1132421753040664</v>
      </c>
    </row>
    <row r="27" spans="1:11" ht="13" customHeight="1" x14ac:dyDescent="0.15">
      <c r="A27" s="105">
        <v>21</v>
      </c>
      <c r="B27" s="40" t="s">
        <v>66</v>
      </c>
      <c r="C27" s="286">
        <v>175</v>
      </c>
      <c r="D27" s="286">
        <v>4437</v>
      </c>
      <c r="E27" s="286">
        <v>0</v>
      </c>
      <c r="F27" s="286">
        <v>0</v>
      </c>
      <c r="G27" s="286">
        <v>16266</v>
      </c>
      <c r="H27" s="286">
        <f>23002+15</f>
        <v>23017</v>
      </c>
      <c r="I27" s="286">
        <f t="shared" si="0"/>
        <v>16441</v>
      </c>
      <c r="J27" s="286">
        <f t="shared" si="1"/>
        <v>27454</v>
      </c>
      <c r="K27" s="318">
        <f>J27*100/NPS_OS_8!N27</f>
        <v>2.4120329288971281</v>
      </c>
    </row>
    <row r="28" spans="1:11" ht="13" customHeight="1" x14ac:dyDescent="0.15">
      <c r="A28" s="105">
        <v>22</v>
      </c>
      <c r="B28" s="40" t="s">
        <v>75</v>
      </c>
      <c r="C28" s="286">
        <v>13</v>
      </c>
      <c r="D28" s="286">
        <v>415</v>
      </c>
      <c r="E28" s="286">
        <v>0</v>
      </c>
      <c r="F28" s="286">
        <v>0</v>
      </c>
      <c r="G28" s="286">
        <v>7268</v>
      </c>
      <c r="H28" s="286">
        <v>765</v>
      </c>
      <c r="I28" s="286">
        <f t="shared" si="0"/>
        <v>7281</v>
      </c>
      <c r="J28" s="286">
        <f t="shared" si="1"/>
        <v>1180</v>
      </c>
      <c r="K28" s="318">
        <f>J28*100/NPS_OS_8!N28</f>
        <v>2.2455304904029263</v>
      </c>
    </row>
    <row r="29" spans="1:11" ht="13" customHeight="1" x14ac:dyDescent="0.15">
      <c r="A29" s="105">
        <v>23</v>
      </c>
      <c r="B29" s="40" t="s">
        <v>379</v>
      </c>
      <c r="C29" s="286">
        <v>0</v>
      </c>
      <c r="D29" s="286">
        <v>0</v>
      </c>
      <c r="E29" s="286">
        <v>0</v>
      </c>
      <c r="F29" s="286">
        <v>0</v>
      </c>
      <c r="G29" s="286">
        <v>0</v>
      </c>
      <c r="H29" s="286">
        <v>0</v>
      </c>
      <c r="I29" s="286">
        <f t="shared" si="0"/>
        <v>0</v>
      </c>
      <c r="J29" s="286">
        <f t="shared" si="1"/>
        <v>0</v>
      </c>
      <c r="K29" s="318">
        <f>J29*100/NPS_OS_8!N29</f>
        <v>0</v>
      </c>
    </row>
    <row r="30" spans="1:11" ht="13" customHeight="1" x14ac:dyDescent="0.15">
      <c r="A30" s="105">
        <v>24</v>
      </c>
      <c r="B30" s="40" t="s">
        <v>185</v>
      </c>
      <c r="C30" s="286">
        <v>0</v>
      </c>
      <c r="D30" s="286">
        <v>0</v>
      </c>
      <c r="E30" s="286">
        <v>0</v>
      </c>
      <c r="F30" s="286">
        <v>0</v>
      </c>
      <c r="G30" s="286">
        <v>16038</v>
      </c>
      <c r="H30" s="286">
        <v>4245</v>
      </c>
      <c r="I30" s="286">
        <f t="shared" si="0"/>
        <v>16038</v>
      </c>
      <c r="J30" s="286">
        <f t="shared" si="1"/>
        <v>4245</v>
      </c>
      <c r="K30" s="318">
        <f>J30*100/NPS_OS_8!N30</f>
        <v>2.5105419103774982</v>
      </c>
    </row>
    <row r="31" spans="1:11" ht="13" customHeight="1" x14ac:dyDescent="0.15">
      <c r="A31" s="105">
        <v>25</v>
      </c>
      <c r="B31" s="40" t="s">
        <v>186</v>
      </c>
      <c r="C31" s="286">
        <v>1</v>
      </c>
      <c r="D31" s="286">
        <v>30</v>
      </c>
      <c r="E31" s="286">
        <v>0</v>
      </c>
      <c r="F31" s="286">
        <v>0</v>
      </c>
      <c r="G31" s="286">
        <v>74</v>
      </c>
      <c r="H31" s="286">
        <v>419</v>
      </c>
      <c r="I31" s="286">
        <f t="shared" si="0"/>
        <v>75</v>
      </c>
      <c r="J31" s="286">
        <f t="shared" si="1"/>
        <v>449</v>
      </c>
      <c r="K31" s="318">
        <f>J31*100/NPS_OS_8!N31</f>
        <v>27.853598014888338</v>
      </c>
    </row>
    <row r="32" spans="1:11" ht="13" customHeight="1" x14ac:dyDescent="0.15">
      <c r="A32" s="105">
        <v>26</v>
      </c>
      <c r="B32" s="40" t="s">
        <v>187</v>
      </c>
      <c r="C32" s="286">
        <v>7</v>
      </c>
      <c r="D32" s="286">
        <v>18.98</v>
      </c>
      <c r="E32" s="286">
        <v>0</v>
      </c>
      <c r="F32" s="286">
        <v>0</v>
      </c>
      <c r="G32" s="286">
        <v>279</v>
      </c>
      <c r="H32" s="286">
        <v>1254.55</v>
      </c>
      <c r="I32" s="286">
        <f t="shared" si="0"/>
        <v>286</v>
      </c>
      <c r="J32" s="286">
        <f t="shared" si="1"/>
        <v>1273.53</v>
      </c>
      <c r="K32" s="318">
        <f>J32*100/NPS_OS_8!N32</f>
        <v>36.59947580784219</v>
      </c>
    </row>
    <row r="33" spans="1:11" ht="13" customHeight="1" x14ac:dyDescent="0.15">
      <c r="A33" s="105">
        <v>27</v>
      </c>
      <c r="B33" s="40" t="s">
        <v>188</v>
      </c>
      <c r="C33" s="286">
        <v>0</v>
      </c>
      <c r="D33" s="286">
        <v>0</v>
      </c>
      <c r="E33" s="286">
        <v>0</v>
      </c>
      <c r="F33" s="286">
        <v>0</v>
      </c>
      <c r="G33" s="286">
        <v>28</v>
      </c>
      <c r="H33" s="286">
        <v>171.27</v>
      </c>
      <c r="I33" s="286">
        <f t="shared" si="0"/>
        <v>28</v>
      </c>
      <c r="J33" s="286">
        <f t="shared" si="1"/>
        <v>171.27</v>
      </c>
      <c r="K33" s="318">
        <f>J33*100/NPS_OS_8!N33</f>
        <v>6.146332010306689</v>
      </c>
    </row>
    <row r="34" spans="1:11" ht="13" customHeight="1" x14ac:dyDescent="0.15">
      <c r="A34" s="105">
        <v>28</v>
      </c>
      <c r="B34" s="40" t="s">
        <v>67</v>
      </c>
      <c r="C34" s="286">
        <v>0</v>
      </c>
      <c r="D34" s="286">
        <v>0</v>
      </c>
      <c r="E34" s="286">
        <v>0</v>
      </c>
      <c r="F34" s="286">
        <v>0</v>
      </c>
      <c r="G34" s="286">
        <v>0</v>
      </c>
      <c r="H34" s="286">
        <v>0</v>
      </c>
      <c r="I34" s="286">
        <f t="shared" si="0"/>
        <v>0</v>
      </c>
      <c r="J34" s="286">
        <f t="shared" si="1"/>
        <v>0</v>
      </c>
      <c r="K34" s="318">
        <f>J34*100/NPS_OS_8!N34</f>
        <v>0</v>
      </c>
    </row>
    <row r="35" spans="1:11" ht="13" customHeight="1" x14ac:dyDescent="0.15">
      <c r="A35" s="105">
        <v>29</v>
      </c>
      <c r="B35" s="40" t="s">
        <v>189</v>
      </c>
      <c r="C35" s="286">
        <v>0</v>
      </c>
      <c r="D35" s="286">
        <v>0</v>
      </c>
      <c r="E35" s="286">
        <v>0</v>
      </c>
      <c r="F35" s="286">
        <v>0</v>
      </c>
      <c r="G35" s="286">
        <v>3</v>
      </c>
      <c r="H35" s="286">
        <v>939</v>
      </c>
      <c r="I35" s="286">
        <f t="shared" si="0"/>
        <v>3</v>
      </c>
      <c r="J35" s="286">
        <f t="shared" si="1"/>
        <v>939</v>
      </c>
      <c r="K35" s="318">
        <f>J35*100/NPS_OS_8!N35</f>
        <v>21.220338983050848</v>
      </c>
    </row>
    <row r="36" spans="1:11" ht="13" customHeight="1" x14ac:dyDescent="0.15">
      <c r="A36" s="105">
        <v>30</v>
      </c>
      <c r="B36" s="40" t="s">
        <v>190</v>
      </c>
      <c r="C36" s="286">
        <v>0</v>
      </c>
      <c r="D36" s="286">
        <v>0</v>
      </c>
      <c r="E36" s="286">
        <v>0</v>
      </c>
      <c r="F36" s="286">
        <v>0</v>
      </c>
      <c r="G36" s="286">
        <v>122</v>
      </c>
      <c r="H36" s="286">
        <v>127.21</v>
      </c>
      <c r="I36" s="286">
        <f t="shared" si="0"/>
        <v>122</v>
      </c>
      <c r="J36" s="286">
        <f t="shared" si="1"/>
        <v>127.21</v>
      </c>
      <c r="K36" s="318">
        <f>J36*100/NPS_OS_8!N36</f>
        <v>0.63519249013831325</v>
      </c>
    </row>
    <row r="37" spans="1:11" ht="13" customHeight="1" x14ac:dyDescent="0.15">
      <c r="A37" s="105">
        <v>31</v>
      </c>
      <c r="B37" s="40" t="s">
        <v>191</v>
      </c>
      <c r="C37" s="286">
        <v>0</v>
      </c>
      <c r="D37" s="286">
        <v>0</v>
      </c>
      <c r="E37" s="286">
        <v>0</v>
      </c>
      <c r="F37" s="286">
        <v>0</v>
      </c>
      <c r="G37" s="286">
        <v>1</v>
      </c>
      <c r="H37" s="286">
        <v>1</v>
      </c>
      <c r="I37" s="286">
        <f t="shared" si="0"/>
        <v>1</v>
      </c>
      <c r="J37" s="286">
        <f t="shared" si="1"/>
        <v>1</v>
      </c>
      <c r="K37" s="318">
        <f>J37*100/NPS_OS_8!N37</f>
        <v>3.6913990402362498E-2</v>
      </c>
    </row>
    <row r="38" spans="1:11" ht="13" customHeight="1" x14ac:dyDescent="0.15">
      <c r="A38" s="105">
        <v>32</v>
      </c>
      <c r="B38" s="40" t="s">
        <v>71</v>
      </c>
      <c r="C38" s="286">
        <v>0</v>
      </c>
      <c r="D38" s="286">
        <v>0</v>
      </c>
      <c r="E38" s="286">
        <v>0</v>
      </c>
      <c r="F38" s="286">
        <v>0</v>
      </c>
      <c r="G38" s="286">
        <v>0</v>
      </c>
      <c r="H38" s="286">
        <v>0</v>
      </c>
      <c r="I38" s="286">
        <f t="shared" si="0"/>
        <v>0</v>
      </c>
      <c r="J38" s="286">
        <f t="shared" si="1"/>
        <v>0</v>
      </c>
      <c r="K38" s="318">
        <f>J38*100/NPS_OS_8!N38</f>
        <v>0</v>
      </c>
    </row>
    <row r="39" spans="1:11" ht="13" customHeight="1" x14ac:dyDescent="0.15">
      <c r="A39" s="105">
        <v>33</v>
      </c>
      <c r="B39" s="40" t="s">
        <v>192</v>
      </c>
      <c r="C39" s="286">
        <v>0</v>
      </c>
      <c r="D39" s="286">
        <v>0</v>
      </c>
      <c r="E39" s="286">
        <v>0</v>
      </c>
      <c r="F39" s="286">
        <v>0</v>
      </c>
      <c r="G39" s="286">
        <v>0</v>
      </c>
      <c r="H39" s="286">
        <v>0</v>
      </c>
      <c r="I39" s="286">
        <f t="shared" si="0"/>
        <v>0</v>
      </c>
      <c r="J39" s="286">
        <f t="shared" si="1"/>
        <v>0</v>
      </c>
      <c r="K39" s="318">
        <f>J39*100/NPS_OS_8!N39</f>
        <v>0</v>
      </c>
    </row>
    <row r="40" spans="1:11" ht="13" customHeight="1" x14ac:dyDescent="0.15">
      <c r="A40" s="105">
        <v>34</v>
      </c>
      <c r="B40" s="40" t="s">
        <v>70</v>
      </c>
      <c r="C40" s="286">
        <v>9</v>
      </c>
      <c r="D40" s="286">
        <v>59</v>
      </c>
      <c r="E40" s="286">
        <v>0</v>
      </c>
      <c r="F40" s="286">
        <v>0</v>
      </c>
      <c r="G40" s="286">
        <v>282</v>
      </c>
      <c r="H40" s="286">
        <v>2350</v>
      </c>
      <c r="I40" s="286">
        <f t="shared" si="0"/>
        <v>291</v>
      </c>
      <c r="J40" s="286">
        <f t="shared" si="1"/>
        <v>2409</v>
      </c>
      <c r="K40" s="318">
        <f>J40*100/NPS_OS_8!N40</f>
        <v>3.545775684427436</v>
      </c>
    </row>
    <row r="41" spans="1:11" s="74" customFormat="1" ht="13" customHeight="1" x14ac:dyDescent="0.15">
      <c r="A41" s="293"/>
      <c r="B41" s="42" t="s">
        <v>213</v>
      </c>
      <c r="C41" s="287">
        <f>SUM(C19:C40)</f>
        <v>239</v>
      </c>
      <c r="D41" s="287">
        <f t="shared" ref="D41:H41" si="3">SUM(D19:D40)</f>
        <v>5582.7999999999993</v>
      </c>
      <c r="E41" s="287">
        <f t="shared" si="3"/>
        <v>0</v>
      </c>
      <c r="F41" s="287">
        <f t="shared" si="3"/>
        <v>0</v>
      </c>
      <c r="G41" s="287">
        <f t="shared" si="3"/>
        <v>58427</v>
      </c>
      <c r="H41" s="287">
        <f t="shared" si="3"/>
        <v>75856.610000000015</v>
      </c>
      <c r="I41" s="287">
        <f t="shared" si="0"/>
        <v>58666</v>
      </c>
      <c r="J41" s="287">
        <f t="shared" si="1"/>
        <v>81439.410000000018</v>
      </c>
      <c r="K41" s="319">
        <f>J41*100/NPS_OS_8!N41</f>
        <v>2.0957587251611138</v>
      </c>
    </row>
    <row r="42" spans="1:11" s="74" customFormat="1" ht="13" customHeight="1" x14ac:dyDescent="0.15">
      <c r="A42" s="293"/>
      <c r="B42" s="42" t="s">
        <v>311</v>
      </c>
      <c r="C42" s="68">
        <f>C41+C18</f>
        <v>2562</v>
      </c>
      <c r="D42" s="68">
        <f t="shared" ref="D42:H42" si="4">D41+D18</f>
        <v>41015.149999999994</v>
      </c>
      <c r="E42" s="68">
        <f t="shared" si="4"/>
        <v>174</v>
      </c>
      <c r="F42" s="68">
        <f t="shared" si="4"/>
        <v>1652.94</v>
      </c>
      <c r="G42" s="68">
        <f t="shared" si="4"/>
        <v>120568</v>
      </c>
      <c r="H42" s="68">
        <f t="shared" si="4"/>
        <v>652405.51</v>
      </c>
      <c r="I42" s="287">
        <f t="shared" si="0"/>
        <v>123304</v>
      </c>
      <c r="J42" s="287">
        <f t="shared" si="1"/>
        <v>695073.6</v>
      </c>
      <c r="K42" s="319">
        <f>J42*100/NPS_OS_8!N42</f>
        <v>5.0947418288297879</v>
      </c>
    </row>
    <row r="43" spans="1:11" ht="13" customHeight="1" x14ac:dyDescent="0.15">
      <c r="A43" s="105">
        <v>35</v>
      </c>
      <c r="B43" s="40" t="s">
        <v>193</v>
      </c>
      <c r="C43" s="286">
        <v>1</v>
      </c>
      <c r="D43" s="286">
        <v>30</v>
      </c>
      <c r="E43" s="286">
        <v>0</v>
      </c>
      <c r="F43" s="286">
        <v>0</v>
      </c>
      <c r="G43" s="286">
        <v>901</v>
      </c>
      <c r="H43" s="286">
        <v>467</v>
      </c>
      <c r="I43" s="286">
        <f t="shared" si="0"/>
        <v>902</v>
      </c>
      <c r="J43" s="286">
        <f t="shared" si="1"/>
        <v>497</v>
      </c>
      <c r="K43" s="318">
        <f>J43*100/NPS_OS_8!N43</f>
        <v>2.3931047765793529</v>
      </c>
    </row>
    <row r="44" spans="1:11" ht="13" customHeight="1" x14ac:dyDescent="0.15">
      <c r="A44" s="105">
        <v>36</v>
      </c>
      <c r="B44" s="40" t="s">
        <v>382</v>
      </c>
      <c r="C44" s="286">
        <v>0</v>
      </c>
      <c r="D44" s="286">
        <v>0</v>
      </c>
      <c r="E44" s="286">
        <v>0</v>
      </c>
      <c r="F44" s="286">
        <v>0</v>
      </c>
      <c r="G44" s="286">
        <v>6696</v>
      </c>
      <c r="H44" s="286">
        <v>5408.49</v>
      </c>
      <c r="I44" s="286">
        <f t="shared" si="0"/>
        <v>6696</v>
      </c>
      <c r="J44" s="286">
        <f t="shared" si="1"/>
        <v>5408.49</v>
      </c>
      <c r="K44" s="318">
        <f>J44*100/NPS_OS_8!N44</f>
        <v>4.426166158020111</v>
      </c>
    </row>
    <row r="45" spans="1:11" s="74" customFormat="1" ht="13" customHeight="1" x14ac:dyDescent="0.15">
      <c r="A45" s="293"/>
      <c r="B45" s="42" t="s">
        <v>216</v>
      </c>
      <c r="C45" s="287">
        <f>SUM(C43:C44)</f>
        <v>1</v>
      </c>
      <c r="D45" s="287">
        <f t="shared" ref="D45:H45" si="5">SUM(D43:D44)</f>
        <v>30</v>
      </c>
      <c r="E45" s="287">
        <f t="shared" si="5"/>
        <v>0</v>
      </c>
      <c r="F45" s="287">
        <f t="shared" si="5"/>
        <v>0</v>
      </c>
      <c r="G45" s="287">
        <f t="shared" si="5"/>
        <v>7597</v>
      </c>
      <c r="H45" s="287">
        <f t="shared" si="5"/>
        <v>5875.49</v>
      </c>
      <c r="I45" s="287">
        <f t="shared" si="0"/>
        <v>7598</v>
      </c>
      <c r="J45" s="287">
        <f t="shared" si="1"/>
        <v>5905.49</v>
      </c>
      <c r="K45" s="319">
        <f>J45*100/NPS_OS_8!N45</f>
        <v>4.1308236983424074</v>
      </c>
    </row>
    <row r="46" spans="1:11" ht="13" customHeight="1" x14ac:dyDescent="0.15">
      <c r="A46" s="105">
        <v>37</v>
      </c>
      <c r="B46" s="40" t="s">
        <v>312</v>
      </c>
      <c r="C46" s="286">
        <v>0</v>
      </c>
      <c r="D46" s="286">
        <v>0</v>
      </c>
      <c r="E46" s="286">
        <v>0</v>
      </c>
      <c r="F46" s="286">
        <v>0</v>
      </c>
      <c r="G46" s="286">
        <v>0</v>
      </c>
      <c r="H46" s="286">
        <v>17125</v>
      </c>
      <c r="I46" s="286">
        <f t="shared" si="0"/>
        <v>0</v>
      </c>
      <c r="J46" s="286">
        <f t="shared" si="1"/>
        <v>17125</v>
      </c>
      <c r="K46" s="318">
        <f>J46*100/NPS_OS_8!N46</f>
        <v>13.419268894722407</v>
      </c>
    </row>
    <row r="47" spans="1:11" s="74" customFormat="1" ht="13" customHeight="1" x14ac:dyDescent="0.15">
      <c r="A47" s="293"/>
      <c r="B47" s="42" t="s">
        <v>214</v>
      </c>
      <c r="C47" s="287">
        <f>C46</f>
        <v>0</v>
      </c>
      <c r="D47" s="287">
        <f t="shared" ref="D47:H47" si="6">D46</f>
        <v>0</v>
      </c>
      <c r="E47" s="287">
        <f t="shared" si="6"/>
        <v>0</v>
      </c>
      <c r="F47" s="287">
        <f t="shared" si="6"/>
        <v>0</v>
      </c>
      <c r="G47" s="287">
        <f t="shared" si="6"/>
        <v>0</v>
      </c>
      <c r="H47" s="287">
        <f t="shared" si="6"/>
        <v>17125</v>
      </c>
      <c r="I47" s="287">
        <f t="shared" si="0"/>
        <v>0</v>
      </c>
      <c r="J47" s="287">
        <f t="shared" si="1"/>
        <v>17125</v>
      </c>
      <c r="K47" s="319">
        <f>J47*100/NPS_OS_8!N47</f>
        <v>13.419268894722407</v>
      </c>
    </row>
    <row r="48" spans="1:11" ht="13" customHeight="1" x14ac:dyDescent="0.15">
      <c r="A48" s="105">
        <v>38</v>
      </c>
      <c r="B48" s="40" t="s">
        <v>304</v>
      </c>
      <c r="C48" s="286">
        <v>3</v>
      </c>
      <c r="D48" s="286">
        <v>90.43</v>
      </c>
      <c r="E48" s="286">
        <v>0</v>
      </c>
      <c r="F48" s="286">
        <v>0</v>
      </c>
      <c r="G48" s="286">
        <v>2962</v>
      </c>
      <c r="H48" s="286">
        <v>2850.09</v>
      </c>
      <c r="I48" s="286">
        <f t="shared" si="0"/>
        <v>2965</v>
      </c>
      <c r="J48" s="286">
        <f t="shared" si="1"/>
        <v>2940.52</v>
      </c>
      <c r="K48" s="318">
        <f>J48*100/NPS_OS_8!N48</f>
        <v>2.8285049800779567</v>
      </c>
    </row>
    <row r="49" spans="1:11" ht="13" customHeight="1" x14ac:dyDescent="0.15">
      <c r="A49" s="105">
        <v>39</v>
      </c>
      <c r="B49" s="40" t="s">
        <v>305</v>
      </c>
      <c r="C49" s="290">
        <v>0</v>
      </c>
      <c r="D49" s="290">
        <v>0</v>
      </c>
      <c r="E49" s="290">
        <v>0</v>
      </c>
      <c r="F49" s="290">
        <v>0</v>
      </c>
      <c r="G49" s="290">
        <v>676</v>
      </c>
      <c r="H49" s="290">
        <f>1691+18</f>
        <v>1709</v>
      </c>
      <c r="I49" s="290">
        <f t="shared" si="0"/>
        <v>676</v>
      </c>
      <c r="J49" s="290">
        <f t="shared" si="1"/>
        <v>1709</v>
      </c>
      <c r="K49" s="318">
        <f>J49*100/NPS_OS_8!N49</f>
        <v>5.7781384183656224</v>
      </c>
    </row>
    <row r="50" spans="1:11" ht="13" customHeight="1" x14ac:dyDescent="0.15">
      <c r="A50" s="105">
        <v>40</v>
      </c>
      <c r="B50" s="40" t="s">
        <v>383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  <c r="H50" s="286">
        <v>0</v>
      </c>
      <c r="I50" s="286">
        <f t="shared" si="0"/>
        <v>0</v>
      </c>
      <c r="J50" s="286">
        <f t="shared" si="1"/>
        <v>0</v>
      </c>
      <c r="K50" s="318">
        <f>J50*100/NPS_OS_8!N50</f>
        <v>0</v>
      </c>
    </row>
    <row r="51" spans="1:11" ht="13" customHeight="1" x14ac:dyDescent="0.15">
      <c r="A51" s="105">
        <v>41</v>
      </c>
      <c r="B51" s="40" t="s">
        <v>306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  <c r="H51" s="286">
        <v>0</v>
      </c>
      <c r="I51" s="286">
        <f t="shared" si="0"/>
        <v>0</v>
      </c>
      <c r="J51" s="286">
        <f t="shared" si="1"/>
        <v>0</v>
      </c>
      <c r="K51" s="318">
        <f>J51*100/NPS_OS_8!N51</f>
        <v>0</v>
      </c>
    </row>
    <row r="52" spans="1:11" ht="13" customHeight="1" x14ac:dyDescent="0.15">
      <c r="A52" s="105">
        <v>42</v>
      </c>
      <c r="B52" s="40" t="s">
        <v>307</v>
      </c>
      <c r="C52" s="290">
        <v>0</v>
      </c>
      <c r="D52" s="290">
        <v>0</v>
      </c>
      <c r="E52" s="290">
        <v>0</v>
      </c>
      <c r="F52" s="290">
        <v>0</v>
      </c>
      <c r="G52" s="290">
        <v>2200</v>
      </c>
      <c r="H52" s="290">
        <v>1247</v>
      </c>
      <c r="I52" s="290">
        <f t="shared" si="0"/>
        <v>2200</v>
      </c>
      <c r="J52" s="290">
        <f t="shared" si="1"/>
        <v>1247</v>
      </c>
      <c r="K52" s="318">
        <f>J52*100/NPS_OS_8!N52</f>
        <v>10.567796610169491</v>
      </c>
    </row>
    <row r="53" spans="1:11" ht="13" customHeight="1" x14ac:dyDescent="0.15">
      <c r="A53" s="105">
        <v>43</v>
      </c>
      <c r="B53" s="40" t="s">
        <v>308</v>
      </c>
      <c r="C53" s="286">
        <v>1</v>
      </c>
      <c r="D53" s="286">
        <v>29.99</v>
      </c>
      <c r="E53" s="286">
        <v>0</v>
      </c>
      <c r="F53" s="286">
        <v>0</v>
      </c>
      <c r="G53" s="286">
        <v>2105</v>
      </c>
      <c r="H53" s="286">
        <v>260.04000000000002</v>
      </c>
      <c r="I53" s="286">
        <f t="shared" si="0"/>
        <v>2106</v>
      </c>
      <c r="J53" s="286">
        <f t="shared" si="1"/>
        <v>290.03000000000003</v>
      </c>
      <c r="K53" s="318">
        <f>J53*100/NPS_OS_8!N53</f>
        <v>6.1852086438946579</v>
      </c>
    </row>
    <row r="54" spans="1:11" ht="12.75" customHeight="1" x14ac:dyDescent="0.15">
      <c r="A54" s="105">
        <v>44</v>
      </c>
      <c r="B54" s="40" t="s">
        <v>300</v>
      </c>
      <c r="C54" s="286">
        <v>27</v>
      </c>
      <c r="D54" s="286">
        <v>22.54</v>
      </c>
      <c r="E54" s="286">
        <v>0</v>
      </c>
      <c r="F54" s="286">
        <v>0</v>
      </c>
      <c r="G54" s="286">
        <v>327</v>
      </c>
      <c r="H54" s="286">
        <v>90.35</v>
      </c>
      <c r="I54" s="286">
        <f t="shared" si="0"/>
        <v>354</v>
      </c>
      <c r="J54" s="286">
        <f t="shared" si="1"/>
        <v>112.88999999999999</v>
      </c>
      <c r="K54" s="318">
        <f>J54*100/NPS_OS_8!N54</f>
        <v>2.2692187085413797</v>
      </c>
    </row>
    <row r="55" spans="1:11" ht="13" customHeight="1" x14ac:dyDescent="0.15">
      <c r="A55" s="105">
        <v>45</v>
      </c>
      <c r="B55" s="40" t="s">
        <v>309</v>
      </c>
      <c r="C55" s="286">
        <v>0</v>
      </c>
      <c r="D55" s="286">
        <v>0</v>
      </c>
      <c r="E55" s="286">
        <v>0</v>
      </c>
      <c r="F55" s="286">
        <v>0</v>
      </c>
      <c r="G55" s="286">
        <v>10</v>
      </c>
      <c r="H55" s="286">
        <v>0</v>
      </c>
      <c r="I55" s="286">
        <f t="shared" si="0"/>
        <v>10</v>
      </c>
      <c r="J55" s="286">
        <f t="shared" si="1"/>
        <v>0</v>
      </c>
      <c r="K55" s="318">
        <f>J55*100/NPS_OS_8!N55</f>
        <v>0</v>
      </c>
    </row>
    <row r="56" spans="1:11" s="74" customFormat="1" ht="13" customHeight="1" x14ac:dyDescent="0.15">
      <c r="A56" s="293"/>
      <c r="B56" s="42" t="s">
        <v>310</v>
      </c>
      <c r="C56" s="287">
        <f>SUM(C48:C55)</f>
        <v>31</v>
      </c>
      <c r="D56" s="287">
        <f t="shared" ref="D56:H56" si="7">SUM(D48:D55)</f>
        <v>142.96</v>
      </c>
      <c r="E56" s="287">
        <f t="shared" si="7"/>
        <v>0</v>
      </c>
      <c r="F56" s="287">
        <f t="shared" si="7"/>
        <v>0</v>
      </c>
      <c r="G56" s="287">
        <f t="shared" si="7"/>
        <v>8280</v>
      </c>
      <c r="H56" s="287">
        <f t="shared" si="7"/>
        <v>6156.4800000000005</v>
      </c>
      <c r="I56" s="287">
        <f t="shared" si="0"/>
        <v>8311</v>
      </c>
      <c r="J56" s="287">
        <f t="shared" si="1"/>
        <v>6299.4400000000005</v>
      </c>
      <c r="K56" s="319">
        <f>J56*100/NPS_OS_8!N56</f>
        <v>3.9762103019007218</v>
      </c>
    </row>
    <row r="57" spans="1:11" s="74" customFormat="1" ht="13" customHeight="1" x14ac:dyDescent="0.15">
      <c r="A57" s="107"/>
      <c r="B57" s="68" t="s">
        <v>0</v>
      </c>
      <c r="C57" s="287">
        <f>C56+C47+C45+C42</f>
        <v>2594</v>
      </c>
      <c r="D57" s="287">
        <f t="shared" ref="D57:H57" si="8">D56+D47+D45+D42</f>
        <v>41188.109999999993</v>
      </c>
      <c r="E57" s="287">
        <f t="shared" si="8"/>
        <v>174</v>
      </c>
      <c r="F57" s="287">
        <f t="shared" si="8"/>
        <v>1652.94</v>
      </c>
      <c r="G57" s="287">
        <f t="shared" si="8"/>
        <v>136445</v>
      </c>
      <c r="H57" s="287">
        <f t="shared" si="8"/>
        <v>681562.48</v>
      </c>
      <c r="I57" s="287">
        <f t="shared" si="0"/>
        <v>139213</v>
      </c>
      <c r="J57" s="287">
        <f t="shared" si="1"/>
        <v>724403.53</v>
      </c>
      <c r="K57" s="319">
        <f>J57*100/NPS_OS_8!N57</f>
        <v>5.1478491454462825</v>
      </c>
    </row>
    <row r="58" spans="1:11" ht="14" x14ac:dyDescent="0.2">
      <c r="E58" s="74" t="s">
        <v>1085</v>
      </c>
      <c r="H58" s="171"/>
      <c r="I58" s="172"/>
      <c r="J58" s="172"/>
      <c r="K58" s="172"/>
    </row>
  </sheetData>
  <mergeCells count="9">
    <mergeCell ref="A1:J1"/>
    <mergeCell ref="A2:J2"/>
    <mergeCell ref="I4:J4"/>
    <mergeCell ref="C4:D4"/>
    <mergeCell ref="E4:F4"/>
    <mergeCell ref="G4:H4"/>
    <mergeCell ref="G3:H3"/>
    <mergeCell ref="A4:A5"/>
    <mergeCell ref="B4:B5"/>
  </mergeCells>
  <pageMargins left="1.2" right="0.45" top="0.5" bottom="0.25" header="0.3" footer="0.3"/>
  <pageSetup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59999389629810485"/>
  </sheetPr>
  <dimension ref="A1:AC58"/>
  <sheetViews>
    <sheetView view="pageBreakPreview" zoomScale="90" zoomScaleNormal="106" zoomScaleSheetLayoutView="90" workbookViewId="0">
      <pane xSplit="2" ySplit="5" topLeftCell="C29" activePane="bottomRight" state="frozen"/>
      <selection pane="topRight" activeCell="C1" sqref="C1"/>
      <selection pane="bottomLeft" activeCell="A6" sqref="A6"/>
      <selection pane="bottomRight" activeCell="I71" sqref="I71"/>
    </sheetView>
  </sheetViews>
  <sheetFormatPr baseColWidth="10" defaultColWidth="9.19921875" defaultRowHeight="13" x14ac:dyDescent="0.2"/>
  <cols>
    <col min="1" max="1" width="4.19921875" style="2" customWidth="1"/>
    <col min="2" max="2" width="20.59765625" style="2" customWidth="1"/>
    <col min="3" max="3" width="7.19921875" style="3" customWidth="1"/>
    <col min="4" max="4" width="7.59765625" style="3" customWidth="1"/>
    <col min="5" max="5" width="7" style="3" bestFit="1" customWidth="1"/>
    <col min="6" max="6" width="7.796875" style="3" customWidth="1"/>
    <col min="7" max="7" width="7" style="22" customWidth="1"/>
    <col min="8" max="8" width="6" style="3" customWidth="1"/>
    <col min="9" max="10" width="6.796875" style="3" customWidth="1"/>
    <col min="11" max="11" width="7" style="3" customWidth="1"/>
    <col min="12" max="12" width="6" style="22" customWidth="1"/>
    <col min="13" max="13" width="7" style="3" bestFit="1" customWidth="1"/>
    <col min="14" max="14" width="9" style="3" bestFit="1" customWidth="1"/>
    <col min="15" max="15" width="7.796875" style="3" bestFit="1" customWidth="1"/>
    <col min="16" max="16" width="9" style="3" bestFit="1" customWidth="1"/>
    <col min="17" max="17" width="5.59765625" style="22" customWidth="1"/>
    <col min="18" max="18" width="7.3984375" style="3" customWidth="1"/>
    <col min="19" max="19" width="5.59765625" style="3" customWidth="1"/>
    <col min="20" max="20" width="7" style="3" bestFit="1" customWidth="1"/>
    <col min="21" max="21" width="7" style="3" customWidth="1"/>
    <col min="22" max="22" width="5.796875" style="22" customWidth="1"/>
    <col min="23" max="23" width="7" style="3" bestFit="1" customWidth="1"/>
    <col min="24" max="24" width="8.59765625" style="3" customWidth="1"/>
    <col min="25" max="25" width="8" style="3" bestFit="1" customWidth="1"/>
    <col min="26" max="26" width="7.3984375" style="3" customWidth="1"/>
    <col min="27" max="27" width="5.796875" style="22" customWidth="1"/>
    <col min="28" max="29" width="7.3984375" style="3" bestFit="1" customWidth="1"/>
    <col min="30" max="16384" width="9.19921875" style="2"/>
  </cols>
  <sheetData>
    <row r="1" spans="1:29" ht="18.75" customHeight="1" x14ac:dyDescent="0.2">
      <c r="A1" s="458" t="s">
        <v>1034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</row>
    <row r="2" spans="1:29" ht="16" x14ac:dyDescent="0.2">
      <c r="A2" s="459" t="s">
        <v>262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</row>
    <row r="3" spans="1:29" s="76" customFormat="1" ht="14.25" customHeight="1" x14ac:dyDescent="0.2">
      <c r="A3" s="368"/>
      <c r="B3" s="320" t="s">
        <v>11</v>
      </c>
      <c r="C3" s="460" t="s">
        <v>257</v>
      </c>
      <c r="D3" s="460"/>
      <c r="E3" s="460"/>
      <c r="F3" s="460"/>
      <c r="G3" s="460"/>
      <c r="H3" s="460" t="s">
        <v>259</v>
      </c>
      <c r="I3" s="460"/>
      <c r="J3" s="460"/>
      <c r="K3" s="460"/>
      <c r="L3" s="460"/>
      <c r="M3" s="460" t="s">
        <v>260</v>
      </c>
      <c r="N3" s="460"/>
      <c r="O3" s="460"/>
      <c r="P3" s="460"/>
      <c r="Q3" s="460"/>
      <c r="R3" s="460" t="s">
        <v>1066</v>
      </c>
      <c r="S3" s="460"/>
      <c r="T3" s="460"/>
      <c r="U3" s="460"/>
      <c r="V3" s="460"/>
      <c r="W3" s="460" t="s">
        <v>261</v>
      </c>
      <c r="X3" s="460"/>
      <c r="Y3" s="460"/>
      <c r="Z3" s="460"/>
      <c r="AA3" s="460"/>
      <c r="AB3" s="332"/>
      <c r="AC3" s="332"/>
    </row>
    <row r="4" spans="1:29" ht="12" customHeight="1" x14ac:dyDescent="0.2">
      <c r="A4" s="461" t="s">
        <v>314</v>
      </c>
      <c r="B4" s="461" t="s">
        <v>2</v>
      </c>
      <c r="C4" s="461" t="s">
        <v>258</v>
      </c>
      <c r="D4" s="461"/>
      <c r="E4" s="461" t="s">
        <v>39</v>
      </c>
      <c r="F4" s="461"/>
      <c r="G4" s="461" t="s">
        <v>108</v>
      </c>
      <c r="H4" s="461" t="s">
        <v>258</v>
      </c>
      <c r="I4" s="461"/>
      <c r="J4" s="461" t="s">
        <v>39</v>
      </c>
      <c r="K4" s="461"/>
      <c r="L4" s="461" t="s">
        <v>108</v>
      </c>
      <c r="M4" s="461" t="s">
        <v>258</v>
      </c>
      <c r="N4" s="461"/>
      <c r="O4" s="461" t="s">
        <v>39</v>
      </c>
      <c r="P4" s="461"/>
      <c r="Q4" s="457" t="s">
        <v>91</v>
      </c>
      <c r="R4" s="461" t="s">
        <v>258</v>
      </c>
      <c r="S4" s="461"/>
      <c r="T4" s="461" t="s">
        <v>39</v>
      </c>
      <c r="U4" s="461"/>
      <c r="V4" s="457" t="s">
        <v>91</v>
      </c>
      <c r="W4" s="461" t="s">
        <v>258</v>
      </c>
      <c r="X4" s="461"/>
      <c r="Y4" s="461" t="s">
        <v>39</v>
      </c>
      <c r="Z4" s="461"/>
      <c r="AA4" s="457" t="s">
        <v>91</v>
      </c>
    </row>
    <row r="5" spans="1:29" ht="12" customHeight="1" x14ac:dyDescent="0.2">
      <c r="A5" s="461"/>
      <c r="B5" s="461"/>
      <c r="C5" s="369" t="s">
        <v>20</v>
      </c>
      <c r="D5" s="369" t="s">
        <v>21</v>
      </c>
      <c r="E5" s="369" t="s">
        <v>20</v>
      </c>
      <c r="F5" s="369" t="s">
        <v>21</v>
      </c>
      <c r="G5" s="461"/>
      <c r="H5" s="369" t="s">
        <v>20</v>
      </c>
      <c r="I5" s="369" t="s">
        <v>21</v>
      </c>
      <c r="J5" s="369" t="s">
        <v>20</v>
      </c>
      <c r="K5" s="369" t="s">
        <v>21</v>
      </c>
      <c r="L5" s="461"/>
      <c r="M5" s="369" t="s">
        <v>20</v>
      </c>
      <c r="N5" s="369" t="s">
        <v>21</v>
      </c>
      <c r="O5" s="369" t="s">
        <v>20</v>
      </c>
      <c r="P5" s="369" t="s">
        <v>21</v>
      </c>
      <c r="Q5" s="457"/>
      <c r="R5" s="369" t="s">
        <v>20</v>
      </c>
      <c r="S5" s="369" t="s">
        <v>21</v>
      </c>
      <c r="T5" s="369" t="s">
        <v>20</v>
      </c>
      <c r="U5" s="369" t="s">
        <v>21</v>
      </c>
      <c r="V5" s="457"/>
      <c r="W5" s="369" t="s">
        <v>20</v>
      </c>
      <c r="X5" s="369" t="s">
        <v>21</v>
      </c>
      <c r="Y5" s="369" t="s">
        <v>20</v>
      </c>
      <c r="Z5" s="369" t="s">
        <v>21</v>
      </c>
      <c r="AA5" s="457"/>
    </row>
    <row r="6" spans="1:29" ht="12" customHeight="1" x14ac:dyDescent="0.15">
      <c r="A6" s="218">
        <v>1</v>
      </c>
      <c r="B6" s="219" t="s">
        <v>51</v>
      </c>
      <c r="C6" s="333">
        <v>3901</v>
      </c>
      <c r="D6" s="333">
        <v>5418</v>
      </c>
      <c r="E6" s="333">
        <v>17942</v>
      </c>
      <c r="F6" s="333">
        <v>40998</v>
      </c>
      <c r="G6" s="371">
        <f>D6*100/F6</f>
        <v>13.215278794087517</v>
      </c>
      <c r="H6" s="333">
        <v>1268</v>
      </c>
      <c r="I6" s="333">
        <v>5419</v>
      </c>
      <c r="J6" s="333">
        <v>7198</v>
      </c>
      <c r="K6" s="333">
        <v>50046</v>
      </c>
      <c r="L6" s="371">
        <f>I6*100/K6</f>
        <v>10.828038204851536</v>
      </c>
      <c r="M6" s="333">
        <v>13245</v>
      </c>
      <c r="N6" s="333">
        <v>8761</v>
      </c>
      <c r="O6" s="333">
        <v>19941</v>
      </c>
      <c r="P6" s="333">
        <v>12854</v>
      </c>
      <c r="Q6" s="371">
        <f>N6*100/P6</f>
        <v>68.157771899797723</v>
      </c>
      <c r="R6" s="333">
        <v>261</v>
      </c>
      <c r="S6" s="333">
        <v>131</v>
      </c>
      <c r="T6" s="333">
        <f>SHGs_19!E6</f>
        <v>3454</v>
      </c>
      <c r="U6" s="333">
        <f>SHGs_19!F6</f>
        <v>3812</v>
      </c>
      <c r="V6" s="371">
        <f>S6*100/U6</f>
        <v>3.4365162644281217</v>
      </c>
      <c r="W6" s="333">
        <v>7302</v>
      </c>
      <c r="X6" s="333">
        <v>10062</v>
      </c>
      <c r="Y6" s="333">
        <v>49251</v>
      </c>
      <c r="Z6" s="333">
        <v>81542</v>
      </c>
      <c r="AA6" s="371">
        <f>X6*100/Z6</f>
        <v>12.339653184861788</v>
      </c>
    </row>
    <row r="7" spans="1:29" ht="12" customHeight="1" x14ac:dyDescent="0.15">
      <c r="A7" s="218">
        <v>2</v>
      </c>
      <c r="B7" s="219" t="s">
        <v>52</v>
      </c>
      <c r="C7" s="333">
        <v>1262</v>
      </c>
      <c r="D7" s="333">
        <v>7982</v>
      </c>
      <c r="E7" s="333">
        <v>9563</v>
      </c>
      <c r="F7" s="333">
        <v>106212</v>
      </c>
      <c r="G7" s="371">
        <f t="shared" ref="G7:G57" si="0">D7*100/F7</f>
        <v>7.5151583625202427</v>
      </c>
      <c r="H7" s="333">
        <v>495</v>
      </c>
      <c r="I7" s="333">
        <v>5526</v>
      </c>
      <c r="J7" s="333">
        <v>3169</v>
      </c>
      <c r="K7" s="333">
        <v>61466</v>
      </c>
      <c r="L7" s="371">
        <f t="shared" ref="L7:L57" si="1">I7*100/K7</f>
        <v>8.9903361207822208</v>
      </c>
      <c r="M7" s="333">
        <v>21992</v>
      </c>
      <c r="N7" s="333">
        <v>13314</v>
      </c>
      <c r="O7" s="333">
        <v>54212</v>
      </c>
      <c r="P7" s="333">
        <v>44678</v>
      </c>
      <c r="Q7" s="371">
        <f t="shared" ref="Q7:Q57" si="2">N7*100/P7</f>
        <v>29.799901517525402</v>
      </c>
      <c r="R7" s="333">
        <v>793</v>
      </c>
      <c r="S7" s="333">
        <v>750</v>
      </c>
      <c r="T7" s="333">
        <f>SHGs_19!E7</f>
        <v>14538</v>
      </c>
      <c r="U7" s="333">
        <f>SHGs_19!F7</f>
        <v>18845</v>
      </c>
      <c r="V7" s="371">
        <f t="shared" ref="V7:V57" si="3">S7*100/U7</f>
        <v>3.9798355001326611</v>
      </c>
      <c r="W7" s="333">
        <v>6256</v>
      </c>
      <c r="X7" s="333">
        <v>12552</v>
      </c>
      <c r="Y7" s="333">
        <v>123980</v>
      </c>
      <c r="Z7" s="333">
        <v>143105</v>
      </c>
      <c r="AA7" s="371">
        <f t="shared" ref="AA7:AA57" si="4">X7*100/Z7</f>
        <v>8.7711819992313345</v>
      </c>
    </row>
    <row r="8" spans="1:29" ht="12" customHeight="1" x14ac:dyDescent="0.15">
      <c r="A8" s="218">
        <v>3</v>
      </c>
      <c r="B8" s="219" t="s">
        <v>53</v>
      </c>
      <c r="C8" s="333">
        <v>144</v>
      </c>
      <c r="D8" s="333">
        <v>279.60000000000002</v>
      </c>
      <c r="E8" s="333">
        <v>2720</v>
      </c>
      <c r="F8" s="333">
        <v>5842.28</v>
      </c>
      <c r="G8" s="371">
        <f t="shared" si="0"/>
        <v>4.7858028030152617</v>
      </c>
      <c r="H8" s="333">
        <v>60</v>
      </c>
      <c r="I8" s="333">
        <v>117.16</v>
      </c>
      <c r="J8" s="333">
        <v>179</v>
      </c>
      <c r="K8" s="333">
        <v>544.70000000000005</v>
      </c>
      <c r="L8" s="371">
        <f t="shared" si="1"/>
        <v>21.509087571140075</v>
      </c>
      <c r="M8" s="333">
        <v>6840</v>
      </c>
      <c r="N8" s="333">
        <v>4140</v>
      </c>
      <c r="O8" s="333">
        <v>14404</v>
      </c>
      <c r="P8" s="333">
        <v>9132.1299999999992</v>
      </c>
      <c r="Q8" s="371">
        <f t="shared" si="2"/>
        <v>45.334440048488148</v>
      </c>
      <c r="R8" s="333">
        <v>228</v>
      </c>
      <c r="S8" s="333">
        <v>176.07</v>
      </c>
      <c r="T8" s="333">
        <f>SHGs_19!E8</f>
        <v>1820</v>
      </c>
      <c r="U8" s="333">
        <f>SHGs_19!F8</f>
        <v>1782</v>
      </c>
      <c r="V8" s="371">
        <f t="shared" si="3"/>
        <v>9.8804713804713806</v>
      </c>
      <c r="W8" s="333">
        <v>3640</v>
      </c>
      <c r="X8" s="333">
        <v>4129.21</v>
      </c>
      <c r="Y8" s="333">
        <v>17116</v>
      </c>
      <c r="Z8" s="333">
        <v>21513.040000000001</v>
      </c>
      <c r="AA8" s="371">
        <f t="shared" si="4"/>
        <v>19.193986530959826</v>
      </c>
    </row>
    <row r="9" spans="1:29" ht="12" customHeight="1" x14ac:dyDescent="0.15">
      <c r="A9" s="218">
        <v>4</v>
      </c>
      <c r="B9" s="219" t="s">
        <v>54</v>
      </c>
      <c r="C9" s="333">
        <v>398</v>
      </c>
      <c r="D9" s="333">
        <v>793</v>
      </c>
      <c r="E9" s="333">
        <v>3339</v>
      </c>
      <c r="F9" s="333">
        <v>9258</v>
      </c>
      <c r="G9" s="371">
        <f t="shared" si="0"/>
        <v>8.5655649168286878</v>
      </c>
      <c r="H9" s="333">
        <v>350</v>
      </c>
      <c r="I9" s="333">
        <v>726</v>
      </c>
      <c r="J9" s="333">
        <v>1245</v>
      </c>
      <c r="K9" s="333">
        <v>5368</v>
      </c>
      <c r="L9" s="371">
        <f t="shared" si="1"/>
        <v>13.524590163934427</v>
      </c>
      <c r="M9" s="333">
        <v>0</v>
      </c>
      <c r="N9" s="333">
        <v>0</v>
      </c>
      <c r="O9" s="333">
        <v>0</v>
      </c>
      <c r="P9" s="333">
        <v>0</v>
      </c>
      <c r="Q9" s="371">
        <v>0</v>
      </c>
      <c r="R9" s="333">
        <v>172</v>
      </c>
      <c r="S9" s="333">
        <v>169</v>
      </c>
      <c r="T9" s="333">
        <f>SHGs_19!E9</f>
        <v>1145</v>
      </c>
      <c r="U9" s="333">
        <f>SHGs_19!F9</f>
        <v>569</v>
      </c>
      <c r="V9" s="371">
        <f t="shared" si="3"/>
        <v>29.701230228471001</v>
      </c>
      <c r="W9" s="333">
        <v>9734</v>
      </c>
      <c r="X9" s="333">
        <v>16926</v>
      </c>
      <c r="Y9" s="333">
        <v>55464</v>
      </c>
      <c r="Z9" s="333">
        <v>91135</v>
      </c>
      <c r="AA9" s="371">
        <f t="shared" si="4"/>
        <v>18.572447468041915</v>
      </c>
    </row>
    <row r="10" spans="1:29" ht="12" customHeight="1" x14ac:dyDescent="0.15">
      <c r="A10" s="218">
        <v>5</v>
      </c>
      <c r="B10" s="219" t="s">
        <v>55</v>
      </c>
      <c r="C10" s="333">
        <v>2909</v>
      </c>
      <c r="D10" s="333">
        <v>5844</v>
      </c>
      <c r="E10" s="333">
        <v>21607</v>
      </c>
      <c r="F10" s="333">
        <v>60221</v>
      </c>
      <c r="G10" s="371">
        <f t="shared" si="0"/>
        <v>9.7042559904352306</v>
      </c>
      <c r="H10" s="333">
        <v>420</v>
      </c>
      <c r="I10" s="333">
        <v>1234</v>
      </c>
      <c r="J10" s="333">
        <v>2677</v>
      </c>
      <c r="K10" s="333">
        <v>14273</v>
      </c>
      <c r="L10" s="371">
        <f t="shared" si="1"/>
        <v>8.6456946682547464</v>
      </c>
      <c r="M10" s="333">
        <v>30340</v>
      </c>
      <c r="N10" s="333">
        <v>19789</v>
      </c>
      <c r="O10" s="333">
        <v>86108</v>
      </c>
      <c r="P10" s="333">
        <v>56459</v>
      </c>
      <c r="Q10" s="371">
        <f t="shared" si="2"/>
        <v>35.050213429214118</v>
      </c>
      <c r="R10" s="333">
        <v>3947</v>
      </c>
      <c r="S10" s="333">
        <v>1599</v>
      </c>
      <c r="T10" s="333">
        <f>SHGs_19!E10</f>
        <v>13783</v>
      </c>
      <c r="U10" s="333">
        <f>SHGs_19!F10</f>
        <v>13904</v>
      </c>
      <c r="V10" s="371">
        <f t="shared" si="3"/>
        <v>11.500287686996547</v>
      </c>
      <c r="W10" s="333">
        <v>15749</v>
      </c>
      <c r="X10" s="333">
        <v>10559</v>
      </c>
      <c r="Y10" s="333">
        <v>138307</v>
      </c>
      <c r="Z10" s="333">
        <v>108087</v>
      </c>
      <c r="AA10" s="371">
        <f t="shared" si="4"/>
        <v>9.7689823938123919</v>
      </c>
    </row>
    <row r="11" spans="1:29" ht="12" customHeight="1" x14ac:dyDescent="0.15">
      <c r="A11" s="218">
        <v>6</v>
      </c>
      <c r="B11" s="219" t="s">
        <v>56</v>
      </c>
      <c r="C11" s="333">
        <v>1542</v>
      </c>
      <c r="D11" s="333">
        <v>3450</v>
      </c>
      <c r="E11" s="333">
        <v>6800</v>
      </c>
      <c r="F11" s="333">
        <v>22044</v>
      </c>
      <c r="G11" s="371">
        <f t="shared" si="0"/>
        <v>15.650517147523136</v>
      </c>
      <c r="H11" s="333">
        <v>704</v>
      </c>
      <c r="I11" s="333">
        <v>1581</v>
      </c>
      <c r="J11" s="333">
        <v>1245</v>
      </c>
      <c r="K11" s="333">
        <v>4651</v>
      </c>
      <c r="L11" s="371">
        <f t="shared" si="1"/>
        <v>33.992689744141046</v>
      </c>
      <c r="M11" s="333">
        <v>5013</v>
      </c>
      <c r="N11" s="333">
        <v>4297</v>
      </c>
      <c r="O11" s="333">
        <v>10037</v>
      </c>
      <c r="P11" s="333">
        <v>7991</v>
      </c>
      <c r="Q11" s="371">
        <f t="shared" si="2"/>
        <v>53.772994618946313</v>
      </c>
      <c r="R11" s="333">
        <v>1190</v>
      </c>
      <c r="S11" s="333">
        <v>798</v>
      </c>
      <c r="T11" s="333">
        <f>SHGs_19!E11</f>
        <v>2293</v>
      </c>
      <c r="U11" s="333">
        <f>SHGs_19!F11</f>
        <v>2110</v>
      </c>
      <c r="V11" s="371">
        <f t="shared" si="3"/>
        <v>37.81990521327014</v>
      </c>
      <c r="W11" s="333">
        <v>1509</v>
      </c>
      <c r="X11" s="333">
        <v>2197</v>
      </c>
      <c r="Y11" s="333">
        <v>16564</v>
      </c>
      <c r="Z11" s="333">
        <v>20712</v>
      </c>
      <c r="AA11" s="371">
        <f t="shared" si="4"/>
        <v>10.607377365778293</v>
      </c>
    </row>
    <row r="12" spans="1:29" ht="12" customHeight="1" x14ac:dyDescent="0.15">
      <c r="A12" s="218">
        <v>7</v>
      </c>
      <c r="B12" s="219" t="s">
        <v>57</v>
      </c>
      <c r="C12" s="333">
        <v>191</v>
      </c>
      <c r="D12" s="333">
        <v>569</v>
      </c>
      <c r="E12" s="333">
        <v>1421</v>
      </c>
      <c r="F12" s="333">
        <v>4241</v>
      </c>
      <c r="G12" s="371">
        <f t="shared" si="0"/>
        <v>13.416647017212922</v>
      </c>
      <c r="H12" s="333">
        <v>35</v>
      </c>
      <c r="I12" s="333">
        <v>161.46</v>
      </c>
      <c r="J12" s="333">
        <v>169</v>
      </c>
      <c r="K12" s="333">
        <v>832</v>
      </c>
      <c r="L12" s="371">
        <f t="shared" si="1"/>
        <v>19.40625</v>
      </c>
      <c r="M12" s="333">
        <v>418</v>
      </c>
      <c r="N12" s="333">
        <v>309</v>
      </c>
      <c r="O12" s="333">
        <v>1703</v>
      </c>
      <c r="P12" s="333">
        <v>1598</v>
      </c>
      <c r="Q12" s="371">
        <f t="shared" si="2"/>
        <v>19.336670838548184</v>
      </c>
      <c r="R12" s="333">
        <v>0</v>
      </c>
      <c r="S12" s="333">
        <v>0</v>
      </c>
      <c r="T12" s="333">
        <f>SHGs_19!E12</f>
        <v>37</v>
      </c>
      <c r="U12" s="333">
        <f>SHGs_19!F12</f>
        <v>27.79</v>
      </c>
      <c r="V12" s="371">
        <f t="shared" si="3"/>
        <v>0</v>
      </c>
      <c r="W12" s="333">
        <v>255</v>
      </c>
      <c r="X12" s="333">
        <v>366.72</v>
      </c>
      <c r="Y12" s="333">
        <v>4303</v>
      </c>
      <c r="Z12" s="333">
        <v>6172</v>
      </c>
      <c r="AA12" s="371">
        <f t="shared" si="4"/>
        <v>5.9416720674011669</v>
      </c>
    </row>
    <row r="13" spans="1:29" ht="12" customHeight="1" x14ac:dyDescent="0.15">
      <c r="A13" s="218">
        <v>8</v>
      </c>
      <c r="B13" s="219" t="s">
        <v>178</v>
      </c>
      <c r="C13" s="333">
        <v>59</v>
      </c>
      <c r="D13" s="333">
        <v>250</v>
      </c>
      <c r="E13" s="333">
        <v>313</v>
      </c>
      <c r="F13" s="333">
        <v>1354</v>
      </c>
      <c r="G13" s="371">
        <f t="shared" si="0"/>
        <v>18.46381093057607</v>
      </c>
      <c r="H13" s="333">
        <v>40</v>
      </c>
      <c r="I13" s="333">
        <v>142</v>
      </c>
      <c r="J13" s="333">
        <v>242</v>
      </c>
      <c r="K13" s="333">
        <v>862</v>
      </c>
      <c r="L13" s="371">
        <f t="shared" si="1"/>
        <v>16.473317865429234</v>
      </c>
      <c r="M13" s="333">
        <v>0</v>
      </c>
      <c r="N13" s="333">
        <v>0</v>
      </c>
      <c r="O13" s="333">
        <v>0</v>
      </c>
      <c r="P13" s="333">
        <v>0</v>
      </c>
      <c r="Q13" s="371">
        <v>0</v>
      </c>
      <c r="R13" s="333">
        <v>36</v>
      </c>
      <c r="S13" s="333">
        <v>29</v>
      </c>
      <c r="T13" s="333">
        <f>SHGs_19!E13</f>
        <v>61</v>
      </c>
      <c r="U13" s="333">
        <f>SHGs_19!F13</f>
        <v>167</v>
      </c>
      <c r="V13" s="371">
        <f t="shared" si="3"/>
        <v>17.365269461077844</v>
      </c>
      <c r="W13" s="333">
        <v>456</v>
      </c>
      <c r="X13" s="333">
        <v>841</v>
      </c>
      <c r="Y13" s="333">
        <v>1899</v>
      </c>
      <c r="Z13" s="333">
        <v>3628</v>
      </c>
      <c r="AA13" s="371">
        <f t="shared" si="4"/>
        <v>23.180815876515986</v>
      </c>
    </row>
    <row r="14" spans="1:29" ht="12" customHeight="1" x14ac:dyDescent="0.15">
      <c r="A14" s="218">
        <v>9</v>
      </c>
      <c r="B14" s="219" t="s">
        <v>58</v>
      </c>
      <c r="C14" s="333">
        <v>2837</v>
      </c>
      <c r="D14" s="333">
        <v>8213</v>
      </c>
      <c r="E14" s="333">
        <v>11970</v>
      </c>
      <c r="F14" s="333">
        <v>47568</v>
      </c>
      <c r="G14" s="371">
        <f t="shared" si="0"/>
        <v>17.265808947191388</v>
      </c>
      <c r="H14" s="333">
        <v>451</v>
      </c>
      <c r="I14" s="333">
        <v>1410.84</v>
      </c>
      <c r="J14" s="333">
        <v>2874</v>
      </c>
      <c r="K14" s="333">
        <v>13547</v>
      </c>
      <c r="L14" s="371">
        <f t="shared" si="1"/>
        <v>10.414409094264412</v>
      </c>
      <c r="M14" s="333">
        <v>12003</v>
      </c>
      <c r="N14" s="333">
        <v>9385.4699999999993</v>
      </c>
      <c r="O14" s="333">
        <v>33710</v>
      </c>
      <c r="P14" s="333">
        <v>26880.45</v>
      </c>
      <c r="Q14" s="371">
        <f t="shared" si="2"/>
        <v>34.915598511185635</v>
      </c>
      <c r="R14" s="333">
        <v>557</v>
      </c>
      <c r="S14" s="333">
        <v>380.22</v>
      </c>
      <c r="T14" s="333">
        <f>SHGs_19!E14</f>
        <v>4062</v>
      </c>
      <c r="U14" s="333">
        <f>SHGs_19!F14</f>
        <v>3254.82</v>
      </c>
      <c r="V14" s="371">
        <f t="shared" si="3"/>
        <v>11.681751986284956</v>
      </c>
      <c r="W14" s="333">
        <v>33115</v>
      </c>
      <c r="X14" s="333">
        <v>41672.06</v>
      </c>
      <c r="Y14" s="333">
        <v>88537</v>
      </c>
      <c r="Z14" s="333">
        <v>112888.97</v>
      </c>
      <c r="AA14" s="371">
        <f t="shared" si="4"/>
        <v>36.91419985495483</v>
      </c>
    </row>
    <row r="15" spans="1:29" ht="12" customHeight="1" x14ac:dyDescent="0.15">
      <c r="A15" s="218">
        <v>10</v>
      </c>
      <c r="B15" s="219" t="s">
        <v>64</v>
      </c>
      <c r="C15" s="333">
        <v>8615</v>
      </c>
      <c r="D15" s="333">
        <v>10781</v>
      </c>
      <c r="E15" s="333">
        <v>36502</v>
      </c>
      <c r="F15" s="333">
        <v>59479</v>
      </c>
      <c r="G15" s="371">
        <f t="shared" si="0"/>
        <v>18.125725045814487</v>
      </c>
      <c r="H15" s="333">
        <v>475</v>
      </c>
      <c r="I15" s="333">
        <v>929</v>
      </c>
      <c r="J15" s="333">
        <v>1871</v>
      </c>
      <c r="K15" s="333">
        <v>7730</v>
      </c>
      <c r="L15" s="371">
        <f t="shared" si="1"/>
        <v>12.018111254851229</v>
      </c>
      <c r="M15" s="333">
        <v>39288</v>
      </c>
      <c r="N15" s="333">
        <v>28400</v>
      </c>
      <c r="O15" s="333">
        <v>112657</v>
      </c>
      <c r="P15" s="333">
        <v>78200</v>
      </c>
      <c r="Q15" s="371">
        <f t="shared" si="2"/>
        <v>36.31713554987212</v>
      </c>
      <c r="R15" s="333">
        <v>475</v>
      </c>
      <c r="S15" s="333">
        <v>269</v>
      </c>
      <c r="T15" s="333">
        <f>SHGs_19!E15</f>
        <v>4602</v>
      </c>
      <c r="U15" s="333">
        <f>SHGs_19!F15</f>
        <v>9148</v>
      </c>
      <c r="V15" s="371">
        <f t="shared" si="3"/>
        <v>2.9405334499344118</v>
      </c>
      <c r="W15" s="333">
        <v>60975</v>
      </c>
      <c r="X15" s="333">
        <v>42406</v>
      </c>
      <c r="Y15" s="333">
        <v>228734</v>
      </c>
      <c r="Z15" s="333">
        <v>154106</v>
      </c>
      <c r="AA15" s="371">
        <f t="shared" si="4"/>
        <v>27.517423072430663</v>
      </c>
    </row>
    <row r="16" spans="1:29" ht="12" customHeight="1" x14ac:dyDescent="0.15">
      <c r="A16" s="218">
        <v>11</v>
      </c>
      <c r="B16" s="219" t="s">
        <v>179</v>
      </c>
      <c r="C16" s="333">
        <v>1475</v>
      </c>
      <c r="D16" s="333">
        <v>1053</v>
      </c>
      <c r="E16" s="333">
        <v>3258</v>
      </c>
      <c r="F16" s="333">
        <v>2188</v>
      </c>
      <c r="G16" s="371">
        <f t="shared" si="0"/>
        <v>48.12614259597806</v>
      </c>
      <c r="H16" s="333">
        <v>130</v>
      </c>
      <c r="I16" s="333">
        <v>244</v>
      </c>
      <c r="J16" s="333">
        <v>281</v>
      </c>
      <c r="K16" s="333">
        <v>611</v>
      </c>
      <c r="L16" s="371">
        <f t="shared" si="1"/>
        <v>39.934533551554829</v>
      </c>
      <c r="M16" s="333">
        <v>0</v>
      </c>
      <c r="N16" s="333">
        <v>0</v>
      </c>
      <c r="O16" s="333">
        <v>0</v>
      </c>
      <c r="P16" s="333">
        <v>0</v>
      </c>
      <c r="Q16" s="371">
        <v>0</v>
      </c>
      <c r="R16" s="333">
        <v>266</v>
      </c>
      <c r="S16" s="333">
        <v>122</v>
      </c>
      <c r="T16" s="333">
        <f>SHGs_19!E16</f>
        <v>385</v>
      </c>
      <c r="U16" s="333">
        <f>SHGs_19!F16</f>
        <v>752</v>
      </c>
      <c r="V16" s="371">
        <f t="shared" si="3"/>
        <v>16.223404255319149</v>
      </c>
      <c r="W16" s="333">
        <v>22</v>
      </c>
      <c r="X16" s="333">
        <v>13</v>
      </c>
      <c r="Y16" s="333">
        <v>723</v>
      </c>
      <c r="Z16" s="333">
        <v>1195</v>
      </c>
      <c r="AA16" s="371">
        <f t="shared" si="4"/>
        <v>1.0878661087866108</v>
      </c>
    </row>
    <row r="17" spans="1:29" ht="12" customHeight="1" x14ac:dyDescent="0.15">
      <c r="A17" s="218">
        <v>12</v>
      </c>
      <c r="B17" s="219" t="s">
        <v>60</v>
      </c>
      <c r="C17" s="333">
        <v>1161</v>
      </c>
      <c r="D17" s="333">
        <v>1306</v>
      </c>
      <c r="E17" s="333">
        <v>6496</v>
      </c>
      <c r="F17" s="333">
        <v>28084</v>
      </c>
      <c r="G17" s="371">
        <f t="shared" si="0"/>
        <v>4.6503347101552484</v>
      </c>
      <c r="H17" s="333">
        <v>524</v>
      </c>
      <c r="I17" s="333">
        <v>576</v>
      </c>
      <c r="J17" s="333">
        <v>1662</v>
      </c>
      <c r="K17" s="333">
        <v>4613</v>
      </c>
      <c r="L17" s="371">
        <f t="shared" si="1"/>
        <v>12.486451333188814</v>
      </c>
      <c r="M17" s="333">
        <v>11958</v>
      </c>
      <c r="N17" s="333">
        <v>6765</v>
      </c>
      <c r="O17" s="333">
        <v>26155</v>
      </c>
      <c r="P17" s="333">
        <v>14163</v>
      </c>
      <c r="Q17" s="371">
        <f t="shared" si="2"/>
        <v>47.765303961025204</v>
      </c>
      <c r="R17" s="333">
        <v>3179</v>
      </c>
      <c r="S17" s="333">
        <v>2664</v>
      </c>
      <c r="T17" s="333">
        <f>SHGs_19!E17</f>
        <v>6919</v>
      </c>
      <c r="U17" s="333">
        <f>SHGs_19!F17</f>
        <v>4588</v>
      </c>
      <c r="V17" s="371">
        <f t="shared" si="3"/>
        <v>58.064516129032256</v>
      </c>
      <c r="W17" s="333">
        <v>8188</v>
      </c>
      <c r="X17" s="333">
        <v>11056</v>
      </c>
      <c r="Y17" s="333">
        <v>41335</v>
      </c>
      <c r="Z17" s="333">
        <v>78177</v>
      </c>
      <c r="AA17" s="371">
        <f t="shared" si="4"/>
        <v>14.142266907146603</v>
      </c>
    </row>
    <row r="18" spans="1:29" s="69" customFormat="1" ht="12" customHeight="1" x14ac:dyDescent="0.15">
      <c r="A18" s="220"/>
      <c r="B18" s="221" t="s">
        <v>215</v>
      </c>
      <c r="C18" s="370">
        <f>SUM(C6:C17)</f>
        <v>24494</v>
      </c>
      <c r="D18" s="370">
        <f t="shared" ref="D18:Z18" si="5">SUM(D6:D17)</f>
        <v>45938.6</v>
      </c>
      <c r="E18" s="370">
        <f t="shared" si="5"/>
        <v>121931</v>
      </c>
      <c r="F18" s="370">
        <f t="shared" si="5"/>
        <v>387489.28000000003</v>
      </c>
      <c r="G18" s="372">
        <f t="shared" si="0"/>
        <v>11.855450555948282</v>
      </c>
      <c r="H18" s="370">
        <f t="shared" si="5"/>
        <v>4952</v>
      </c>
      <c r="I18" s="370">
        <f t="shared" si="5"/>
        <v>18066.46</v>
      </c>
      <c r="J18" s="370">
        <f t="shared" si="5"/>
        <v>22812</v>
      </c>
      <c r="K18" s="370">
        <f t="shared" si="5"/>
        <v>164543.70000000001</v>
      </c>
      <c r="L18" s="372">
        <f t="shared" si="1"/>
        <v>10.979733651303574</v>
      </c>
      <c r="M18" s="370">
        <f t="shared" si="5"/>
        <v>141097</v>
      </c>
      <c r="N18" s="370">
        <f t="shared" si="5"/>
        <v>95160.47</v>
      </c>
      <c r="O18" s="370">
        <f t="shared" si="5"/>
        <v>358927</v>
      </c>
      <c r="P18" s="370">
        <f t="shared" si="5"/>
        <v>251955.58000000002</v>
      </c>
      <c r="Q18" s="372">
        <f t="shared" si="2"/>
        <v>37.768748761190366</v>
      </c>
      <c r="R18" s="370">
        <f t="shared" si="5"/>
        <v>11104</v>
      </c>
      <c r="S18" s="370">
        <f t="shared" si="5"/>
        <v>7087.29</v>
      </c>
      <c r="T18" s="370">
        <f>SHGs_19!E18</f>
        <v>53099</v>
      </c>
      <c r="U18" s="370">
        <f>SHGs_19!F18</f>
        <v>58959.61</v>
      </c>
      <c r="V18" s="372">
        <f t="shared" si="3"/>
        <v>12.020584939418697</v>
      </c>
      <c r="W18" s="370">
        <f t="shared" si="5"/>
        <v>147201</v>
      </c>
      <c r="X18" s="370">
        <f t="shared" si="5"/>
        <v>152779.99</v>
      </c>
      <c r="Y18" s="370">
        <f t="shared" si="5"/>
        <v>766213</v>
      </c>
      <c r="Z18" s="370">
        <f t="shared" si="5"/>
        <v>822261.01</v>
      </c>
      <c r="AA18" s="372">
        <f t="shared" si="4"/>
        <v>18.580473613846777</v>
      </c>
      <c r="AB18" s="74"/>
      <c r="AC18" s="74"/>
    </row>
    <row r="19" spans="1:29" ht="12" customHeight="1" x14ac:dyDescent="0.15">
      <c r="A19" s="218">
        <v>13</v>
      </c>
      <c r="B19" s="219" t="s">
        <v>41</v>
      </c>
      <c r="C19" s="333">
        <v>0</v>
      </c>
      <c r="D19" s="333">
        <v>0</v>
      </c>
      <c r="E19" s="333">
        <v>0</v>
      </c>
      <c r="F19" s="333">
        <v>0</v>
      </c>
      <c r="G19" s="371">
        <v>0</v>
      </c>
      <c r="H19" s="333">
        <v>0</v>
      </c>
      <c r="I19" s="333">
        <v>0</v>
      </c>
      <c r="J19" s="333">
        <v>1</v>
      </c>
      <c r="K19" s="333">
        <v>2.65</v>
      </c>
      <c r="L19" s="371">
        <f t="shared" si="1"/>
        <v>0</v>
      </c>
      <c r="M19" s="333">
        <v>0</v>
      </c>
      <c r="N19" s="333">
        <v>0</v>
      </c>
      <c r="O19" s="333">
        <v>0</v>
      </c>
      <c r="P19" s="333">
        <v>0</v>
      </c>
      <c r="Q19" s="371">
        <v>0</v>
      </c>
      <c r="R19" s="333">
        <v>0</v>
      </c>
      <c r="S19" s="333">
        <v>0</v>
      </c>
      <c r="T19" s="333">
        <f>SHGs_19!E19</f>
        <v>21</v>
      </c>
      <c r="U19" s="333">
        <f>SHGs_19!F19</f>
        <v>35.44</v>
      </c>
      <c r="V19" s="371">
        <f t="shared" si="3"/>
        <v>0</v>
      </c>
      <c r="W19" s="333">
        <v>0</v>
      </c>
      <c r="X19" s="333">
        <v>0</v>
      </c>
      <c r="Y19" s="333">
        <v>1622</v>
      </c>
      <c r="Z19" s="333">
        <v>1080.45</v>
      </c>
      <c r="AA19" s="371">
        <f t="shared" si="4"/>
        <v>0</v>
      </c>
    </row>
    <row r="20" spans="1:29" ht="12" customHeight="1" x14ac:dyDescent="0.15">
      <c r="A20" s="218">
        <v>14</v>
      </c>
      <c r="B20" s="219" t="s">
        <v>180</v>
      </c>
      <c r="C20" s="333">
        <v>0</v>
      </c>
      <c r="D20" s="333">
        <v>0</v>
      </c>
      <c r="E20" s="333">
        <v>0</v>
      </c>
      <c r="F20" s="333">
        <v>0</v>
      </c>
      <c r="G20" s="371">
        <v>0</v>
      </c>
      <c r="H20" s="333">
        <v>0</v>
      </c>
      <c r="I20" s="333">
        <v>0</v>
      </c>
      <c r="J20" s="333">
        <v>0</v>
      </c>
      <c r="K20" s="333">
        <v>0</v>
      </c>
      <c r="L20" s="371">
        <v>0</v>
      </c>
      <c r="M20" s="333">
        <v>0</v>
      </c>
      <c r="N20" s="333">
        <v>0</v>
      </c>
      <c r="O20" s="333">
        <v>0</v>
      </c>
      <c r="P20" s="333">
        <v>0</v>
      </c>
      <c r="Q20" s="371">
        <v>0</v>
      </c>
      <c r="R20" s="333">
        <v>0</v>
      </c>
      <c r="S20" s="333">
        <v>0</v>
      </c>
      <c r="T20" s="333">
        <f>SHGs_19!E20</f>
        <v>0</v>
      </c>
      <c r="U20" s="333">
        <f>SHGs_19!F20</f>
        <v>0</v>
      </c>
      <c r="V20" s="371">
        <v>0</v>
      </c>
      <c r="W20" s="333">
        <v>69</v>
      </c>
      <c r="X20" s="333">
        <v>484.73</v>
      </c>
      <c r="Y20" s="333">
        <v>267413</v>
      </c>
      <c r="Z20" s="333">
        <v>119941.63</v>
      </c>
      <c r="AA20" s="371">
        <f t="shared" si="4"/>
        <v>0.40413824624527778</v>
      </c>
    </row>
    <row r="21" spans="1:29" ht="12" customHeight="1" x14ac:dyDescent="0.15">
      <c r="A21" s="218">
        <v>15</v>
      </c>
      <c r="B21" s="219" t="s">
        <v>181</v>
      </c>
      <c r="C21" s="333">
        <v>0</v>
      </c>
      <c r="D21" s="333">
        <v>0</v>
      </c>
      <c r="E21" s="333">
        <v>0</v>
      </c>
      <c r="F21" s="333">
        <v>0</v>
      </c>
      <c r="G21" s="371">
        <v>0</v>
      </c>
      <c r="H21" s="333">
        <v>0</v>
      </c>
      <c r="I21" s="333">
        <v>0</v>
      </c>
      <c r="J21" s="333">
        <v>0</v>
      </c>
      <c r="K21" s="333">
        <v>0</v>
      </c>
      <c r="L21" s="371">
        <v>0</v>
      </c>
      <c r="M21" s="333">
        <v>0</v>
      </c>
      <c r="N21" s="333">
        <v>0</v>
      </c>
      <c r="O21" s="333">
        <v>0</v>
      </c>
      <c r="P21" s="333">
        <v>0</v>
      </c>
      <c r="Q21" s="371">
        <v>0</v>
      </c>
      <c r="R21" s="333">
        <v>0</v>
      </c>
      <c r="S21" s="333">
        <v>0</v>
      </c>
      <c r="T21" s="333">
        <f>SHGs_19!E21</f>
        <v>0</v>
      </c>
      <c r="U21" s="333">
        <f>SHGs_19!F21</f>
        <v>0</v>
      </c>
      <c r="V21" s="371">
        <v>0</v>
      </c>
      <c r="W21" s="333">
        <v>0</v>
      </c>
      <c r="X21" s="333">
        <v>0</v>
      </c>
      <c r="Y21" s="333">
        <v>0</v>
      </c>
      <c r="Z21" s="333">
        <v>0</v>
      </c>
      <c r="AA21" s="371">
        <v>0</v>
      </c>
    </row>
    <row r="22" spans="1:29" ht="12" customHeight="1" x14ac:dyDescent="0.15">
      <c r="A22" s="218">
        <v>16</v>
      </c>
      <c r="B22" s="219" t="s">
        <v>45</v>
      </c>
      <c r="C22" s="333">
        <v>0</v>
      </c>
      <c r="D22" s="333">
        <v>0</v>
      </c>
      <c r="E22" s="333">
        <v>0</v>
      </c>
      <c r="F22" s="333">
        <v>0</v>
      </c>
      <c r="G22" s="371">
        <v>0</v>
      </c>
      <c r="H22" s="333">
        <v>0</v>
      </c>
      <c r="I22" s="333">
        <v>0</v>
      </c>
      <c r="J22" s="333">
        <v>0</v>
      </c>
      <c r="K22" s="333">
        <v>0</v>
      </c>
      <c r="L22" s="371">
        <v>0</v>
      </c>
      <c r="M22" s="333">
        <v>0</v>
      </c>
      <c r="N22" s="333">
        <v>0</v>
      </c>
      <c r="O22" s="333">
        <v>0</v>
      </c>
      <c r="P22" s="333">
        <v>0</v>
      </c>
      <c r="Q22" s="371">
        <v>0</v>
      </c>
      <c r="R22" s="333">
        <v>0</v>
      </c>
      <c r="S22" s="333">
        <v>0</v>
      </c>
      <c r="T22" s="333">
        <f>SHGs_19!E22</f>
        <v>0</v>
      </c>
      <c r="U22" s="333">
        <f>SHGs_19!F22</f>
        <v>0</v>
      </c>
      <c r="V22" s="371">
        <v>0</v>
      </c>
      <c r="W22" s="333">
        <v>0</v>
      </c>
      <c r="X22" s="333">
        <v>0</v>
      </c>
      <c r="Y22" s="333">
        <v>0</v>
      </c>
      <c r="Z22" s="333">
        <v>0</v>
      </c>
      <c r="AA22" s="371">
        <v>0</v>
      </c>
    </row>
    <row r="23" spans="1:29" ht="12" customHeight="1" x14ac:dyDescent="0.15">
      <c r="A23" s="218">
        <v>17</v>
      </c>
      <c r="B23" s="219" t="s">
        <v>182</v>
      </c>
      <c r="C23" s="333">
        <v>0</v>
      </c>
      <c r="D23" s="333">
        <v>0</v>
      </c>
      <c r="E23" s="333">
        <v>0</v>
      </c>
      <c r="F23" s="333">
        <v>0</v>
      </c>
      <c r="G23" s="371">
        <v>0</v>
      </c>
      <c r="H23" s="333">
        <v>0</v>
      </c>
      <c r="I23" s="333">
        <v>0</v>
      </c>
      <c r="J23" s="333">
        <v>0</v>
      </c>
      <c r="K23" s="333">
        <v>0</v>
      </c>
      <c r="L23" s="371">
        <v>0</v>
      </c>
      <c r="M23" s="333">
        <v>0</v>
      </c>
      <c r="N23" s="333">
        <v>0</v>
      </c>
      <c r="O23" s="333">
        <v>0</v>
      </c>
      <c r="P23" s="333">
        <v>0</v>
      </c>
      <c r="Q23" s="371">
        <v>0</v>
      </c>
      <c r="R23" s="333">
        <v>0</v>
      </c>
      <c r="S23" s="333">
        <v>0</v>
      </c>
      <c r="T23" s="333">
        <f>SHGs_19!E23</f>
        <v>0</v>
      </c>
      <c r="U23" s="333">
        <f>SHGs_19!F23</f>
        <v>0</v>
      </c>
      <c r="V23" s="371">
        <v>0</v>
      </c>
      <c r="W23" s="333">
        <v>0</v>
      </c>
      <c r="X23" s="333">
        <v>0</v>
      </c>
      <c r="Y23" s="333">
        <v>0</v>
      </c>
      <c r="Z23" s="333">
        <v>0</v>
      </c>
      <c r="AA23" s="371">
        <v>0</v>
      </c>
    </row>
    <row r="24" spans="1:29" s="69" customFormat="1" ht="12" customHeight="1" x14ac:dyDescent="0.15">
      <c r="A24" s="218">
        <v>18</v>
      </c>
      <c r="B24" s="219" t="s">
        <v>183</v>
      </c>
      <c r="C24" s="333">
        <v>0</v>
      </c>
      <c r="D24" s="333">
        <v>0</v>
      </c>
      <c r="E24" s="333">
        <v>0</v>
      </c>
      <c r="F24" s="333">
        <v>0</v>
      </c>
      <c r="G24" s="371">
        <v>0</v>
      </c>
      <c r="H24" s="333">
        <v>0</v>
      </c>
      <c r="I24" s="333">
        <v>0</v>
      </c>
      <c r="J24" s="333">
        <v>0</v>
      </c>
      <c r="K24" s="333">
        <v>0</v>
      </c>
      <c r="L24" s="371">
        <v>0</v>
      </c>
      <c r="M24" s="333">
        <v>0</v>
      </c>
      <c r="N24" s="333">
        <v>0</v>
      </c>
      <c r="O24" s="333">
        <v>0</v>
      </c>
      <c r="P24" s="333">
        <v>0</v>
      </c>
      <c r="Q24" s="371">
        <v>0</v>
      </c>
      <c r="R24" s="333">
        <v>0</v>
      </c>
      <c r="S24" s="333">
        <v>0</v>
      </c>
      <c r="T24" s="333">
        <f>SHGs_19!E24</f>
        <v>0</v>
      </c>
      <c r="U24" s="333">
        <f>SHGs_19!F24</f>
        <v>0</v>
      </c>
      <c r="V24" s="371">
        <v>0</v>
      </c>
      <c r="W24" s="333">
        <v>0</v>
      </c>
      <c r="X24" s="333">
        <v>0</v>
      </c>
      <c r="Y24" s="333">
        <v>0</v>
      </c>
      <c r="Z24" s="333">
        <v>0</v>
      </c>
      <c r="AA24" s="371">
        <v>0</v>
      </c>
      <c r="AB24" s="3"/>
      <c r="AC24" s="3"/>
    </row>
    <row r="25" spans="1:29" ht="12" customHeight="1" x14ac:dyDescent="0.15">
      <c r="A25" s="218">
        <v>19</v>
      </c>
      <c r="B25" s="219" t="s">
        <v>184</v>
      </c>
      <c r="C25" s="333">
        <v>0</v>
      </c>
      <c r="D25" s="333">
        <v>0</v>
      </c>
      <c r="E25" s="333">
        <v>0</v>
      </c>
      <c r="F25" s="333">
        <v>0</v>
      </c>
      <c r="G25" s="371">
        <v>0</v>
      </c>
      <c r="H25" s="333">
        <v>0</v>
      </c>
      <c r="I25" s="333">
        <v>0</v>
      </c>
      <c r="J25" s="333">
        <v>0</v>
      </c>
      <c r="K25" s="333">
        <v>0</v>
      </c>
      <c r="L25" s="371">
        <v>0</v>
      </c>
      <c r="M25" s="333">
        <v>0</v>
      </c>
      <c r="N25" s="333">
        <v>0</v>
      </c>
      <c r="O25" s="333">
        <v>0</v>
      </c>
      <c r="P25" s="333">
        <v>0</v>
      </c>
      <c r="Q25" s="371">
        <v>0</v>
      </c>
      <c r="R25" s="333">
        <v>0</v>
      </c>
      <c r="S25" s="333">
        <v>0</v>
      </c>
      <c r="T25" s="333">
        <f>SHGs_19!E25</f>
        <v>0</v>
      </c>
      <c r="U25" s="333">
        <f>SHGs_19!F25</f>
        <v>0</v>
      </c>
      <c r="V25" s="371">
        <v>0</v>
      </c>
      <c r="W25" s="333">
        <v>0</v>
      </c>
      <c r="X25" s="333">
        <v>0</v>
      </c>
      <c r="Y25" s="333">
        <v>0</v>
      </c>
      <c r="Z25" s="333">
        <v>0</v>
      </c>
      <c r="AA25" s="371">
        <v>0</v>
      </c>
    </row>
    <row r="26" spans="1:29" ht="12" customHeight="1" x14ac:dyDescent="0.15">
      <c r="A26" s="218">
        <v>20</v>
      </c>
      <c r="B26" s="219" t="s">
        <v>65</v>
      </c>
      <c r="C26" s="333">
        <v>0</v>
      </c>
      <c r="D26" s="333">
        <v>0</v>
      </c>
      <c r="E26" s="333">
        <v>0</v>
      </c>
      <c r="F26" s="333">
        <v>0</v>
      </c>
      <c r="G26" s="371">
        <v>0</v>
      </c>
      <c r="H26" s="333">
        <v>0</v>
      </c>
      <c r="I26" s="333">
        <v>0</v>
      </c>
      <c r="J26" s="333">
        <v>0</v>
      </c>
      <c r="K26" s="333">
        <v>0</v>
      </c>
      <c r="L26" s="371">
        <v>0</v>
      </c>
      <c r="M26" s="333">
        <v>0</v>
      </c>
      <c r="N26" s="333">
        <v>0</v>
      </c>
      <c r="O26" s="333">
        <v>0</v>
      </c>
      <c r="P26" s="333">
        <v>0</v>
      </c>
      <c r="Q26" s="371">
        <v>0</v>
      </c>
      <c r="R26" s="333">
        <v>0</v>
      </c>
      <c r="S26" s="333">
        <v>0</v>
      </c>
      <c r="T26" s="333">
        <f>SHGs_19!E26</f>
        <v>1272</v>
      </c>
      <c r="U26" s="333">
        <f>SHGs_19!F26</f>
        <v>1935</v>
      </c>
      <c r="V26" s="371">
        <f t="shared" si="3"/>
        <v>0</v>
      </c>
      <c r="W26" s="333">
        <v>22</v>
      </c>
      <c r="X26" s="333">
        <v>22</v>
      </c>
      <c r="Y26" s="333">
        <v>96</v>
      </c>
      <c r="Z26" s="333">
        <v>103</v>
      </c>
      <c r="AA26" s="371">
        <f t="shared" si="4"/>
        <v>21.359223300970875</v>
      </c>
    </row>
    <row r="27" spans="1:29" ht="12" customHeight="1" x14ac:dyDescent="0.15">
      <c r="A27" s="218">
        <v>21</v>
      </c>
      <c r="B27" s="219" t="s">
        <v>66</v>
      </c>
      <c r="C27" s="333">
        <v>0</v>
      </c>
      <c r="D27" s="333">
        <v>0</v>
      </c>
      <c r="E27" s="333">
        <v>0</v>
      </c>
      <c r="F27" s="333">
        <v>0</v>
      </c>
      <c r="G27" s="371">
        <v>0</v>
      </c>
      <c r="H27" s="333">
        <v>0</v>
      </c>
      <c r="I27" s="333">
        <v>0</v>
      </c>
      <c r="J27" s="333">
        <v>0</v>
      </c>
      <c r="K27" s="333">
        <v>0</v>
      </c>
      <c r="L27" s="371">
        <v>0</v>
      </c>
      <c r="M27" s="333">
        <v>0</v>
      </c>
      <c r="N27" s="333">
        <v>0</v>
      </c>
      <c r="O27" s="333">
        <v>0</v>
      </c>
      <c r="P27" s="333">
        <v>0</v>
      </c>
      <c r="Q27" s="371">
        <v>0</v>
      </c>
      <c r="R27" s="333">
        <v>50</v>
      </c>
      <c r="S27" s="333">
        <v>3.23</v>
      </c>
      <c r="T27" s="333">
        <f>SHGs_19!E27</f>
        <v>5176</v>
      </c>
      <c r="U27" s="333">
        <f>SHGs_19!F27</f>
        <v>4947</v>
      </c>
      <c r="V27" s="371">
        <f t="shared" si="3"/>
        <v>6.5292096219931275E-2</v>
      </c>
      <c r="W27" s="333">
        <v>19791</v>
      </c>
      <c r="X27" s="333">
        <v>3360.06</v>
      </c>
      <c r="Y27" s="333">
        <v>122238</v>
      </c>
      <c r="Z27" s="333">
        <v>39151.629999999997</v>
      </c>
      <c r="AA27" s="371">
        <f t="shared" si="4"/>
        <v>8.5821714191720755</v>
      </c>
    </row>
    <row r="28" spans="1:29" ht="12" customHeight="1" x14ac:dyDescent="0.15">
      <c r="A28" s="218">
        <v>22</v>
      </c>
      <c r="B28" s="219" t="s">
        <v>75</v>
      </c>
      <c r="C28" s="333">
        <v>0</v>
      </c>
      <c r="D28" s="333">
        <v>0</v>
      </c>
      <c r="E28" s="333">
        <v>0</v>
      </c>
      <c r="F28" s="333">
        <v>0</v>
      </c>
      <c r="G28" s="371">
        <v>0</v>
      </c>
      <c r="H28" s="333">
        <v>0</v>
      </c>
      <c r="I28" s="333">
        <v>0</v>
      </c>
      <c r="J28" s="333">
        <v>0</v>
      </c>
      <c r="K28" s="333">
        <v>0</v>
      </c>
      <c r="L28" s="371">
        <v>0</v>
      </c>
      <c r="M28" s="333">
        <v>0</v>
      </c>
      <c r="N28" s="333">
        <v>0</v>
      </c>
      <c r="O28" s="333">
        <v>0</v>
      </c>
      <c r="P28" s="333">
        <v>0</v>
      </c>
      <c r="Q28" s="371">
        <v>0</v>
      </c>
      <c r="R28" s="333">
        <v>0</v>
      </c>
      <c r="S28" s="333">
        <v>0</v>
      </c>
      <c r="T28" s="333">
        <f>SHGs_19!E28</f>
        <v>142</v>
      </c>
      <c r="U28" s="333">
        <f>SHGs_19!F28</f>
        <v>271</v>
      </c>
      <c r="V28" s="371">
        <f t="shared" si="3"/>
        <v>0</v>
      </c>
      <c r="W28" s="333">
        <v>0</v>
      </c>
      <c r="X28" s="333">
        <v>0</v>
      </c>
      <c r="Y28" s="333">
        <v>0</v>
      </c>
      <c r="Z28" s="333">
        <v>0</v>
      </c>
      <c r="AA28" s="371">
        <v>0</v>
      </c>
    </row>
    <row r="29" spans="1:29" ht="12" customHeight="1" x14ac:dyDescent="0.15">
      <c r="A29" s="218">
        <v>23</v>
      </c>
      <c r="B29" s="219" t="s">
        <v>379</v>
      </c>
      <c r="C29" s="333">
        <v>0</v>
      </c>
      <c r="D29" s="333">
        <v>0</v>
      </c>
      <c r="E29" s="333">
        <v>0</v>
      </c>
      <c r="F29" s="333">
        <v>0</v>
      </c>
      <c r="G29" s="371">
        <v>0</v>
      </c>
      <c r="H29" s="333">
        <v>33</v>
      </c>
      <c r="I29" s="333">
        <v>72.14</v>
      </c>
      <c r="J29" s="333">
        <v>162</v>
      </c>
      <c r="K29" s="333">
        <v>997</v>
      </c>
      <c r="L29" s="371">
        <f t="shared" si="1"/>
        <v>7.2357071213640927</v>
      </c>
      <c r="M29" s="333">
        <v>0</v>
      </c>
      <c r="N29" s="333">
        <v>0</v>
      </c>
      <c r="O29" s="333">
        <v>0</v>
      </c>
      <c r="P29" s="333">
        <v>0</v>
      </c>
      <c r="Q29" s="371">
        <v>0</v>
      </c>
      <c r="R29" s="333">
        <v>318</v>
      </c>
      <c r="S29" s="333">
        <v>180</v>
      </c>
      <c r="T29" s="333">
        <f>SHGs_19!E29</f>
        <v>0</v>
      </c>
      <c r="U29" s="333">
        <f>SHGs_19!F29</f>
        <v>0</v>
      </c>
      <c r="V29" s="371">
        <v>0</v>
      </c>
      <c r="W29" s="333">
        <v>0</v>
      </c>
      <c r="X29" s="333">
        <v>0</v>
      </c>
      <c r="Y29" s="333">
        <v>0</v>
      </c>
      <c r="Z29" s="333">
        <v>0</v>
      </c>
      <c r="AA29" s="371">
        <v>0</v>
      </c>
    </row>
    <row r="30" spans="1:29" ht="12" customHeight="1" x14ac:dyDescent="0.15">
      <c r="A30" s="218">
        <v>24</v>
      </c>
      <c r="B30" s="219" t="s">
        <v>185</v>
      </c>
      <c r="C30" s="333">
        <v>0</v>
      </c>
      <c r="D30" s="333">
        <v>0</v>
      </c>
      <c r="E30" s="333">
        <v>0</v>
      </c>
      <c r="F30" s="333">
        <v>0</v>
      </c>
      <c r="G30" s="371">
        <v>0</v>
      </c>
      <c r="H30" s="333">
        <v>0</v>
      </c>
      <c r="I30" s="333">
        <v>0</v>
      </c>
      <c r="J30" s="333">
        <v>0</v>
      </c>
      <c r="K30" s="333">
        <v>0</v>
      </c>
      <c r="L30" s="371">
        <v>0</v>
      </c>
      <c r="M30" s="333">
        <v>0</v>
      </c>
      <c r="N30" s="333">
        <v>0</v>
      </c>
      <c r="O30" s="333">
        <v>0</v>
      </c>
      <c r="P30" s="333">
        <v>0</v>
      </c>
      <c r="Q30" s="371">
        <v>0</v>
      </c>
      <c r="R30" s="333">
        <v>0</v>
      </c>
      <c r="S30" s="333">
        <v>0</v>
      </c>
      <c r="T30" s="333">
        <f>SHGs_19!E30</f>
        <v>0</v>
      </c>
      <c r="U30" s="333">
        <f>SHGs_19!F30</f>
        <v>0</v>
      </c>
      <c r="V30" s="371">
        <v>0</v>
      </c>
      <c r="W30" s="333">
        <v>0</v>
      </c>
      <c r="X30" s="333">
        <v>0</v>
      </c>
      <c r="Y30" s="333">
        <v>0</v>
      </c>
      <c r="Z30" s="333">
        <v>0</v>
      </c>
      <c r="AA30" s="371">
        <v>0</v>
      </c>
    </row>
    <row r="31" spans="1:29" ht="12" customHeight="1" x14ac:dyDescent="0.15">
      <c r="A31" s="218">
        <v>25</v>
      </c>
      <c r="B31" s="219" t="s">
        <v>186</v>
      </c>
      <c r="C31" s="333">
        <v>0</v>
      </c>
      <c r="D31" s="333">
        <v>0</v>
      </c>
      <c r="E31" s="333">
        <v>0</v>
      </c>
      <c r="F31" s="333">
        <v>0</v>
      </c>
      <c r="G31" s="371">
        <v>0</v>
      </c>
      <c r="H31" s="333">
        <v>0</v>
      </c>
      <c r="I31" s="333">
        <v>0</v>
      </c>
      <c r="J31" s="333">
        <v>0</v>
      </c>
      <c r="K31" s="333">
        <v>0</v>
      </c>
      <c r="L31" s="371">
        <v>0</v>
      </c>
      <c r="M31" s="333">
        <v>0</v>
      </c>
      <c r="N31" s="333">
        <v>0</v>
      </c>
      <c r="O31" s="333">
        <v>0</v>
      </c>
      <c r="P31" s="333">
        <v>0</v>
      </c>
      <c r="Q31" s="371">
        <v>0</v>
      </c>
      <c r="R31" s="333">
        <v>0</v>
      </c>
      <c r="S31" s="333">
        <v>0</v>
      </c>
      <c r="T31" s="333">
        <f>SHGs_19!E31</f>
        <v>0</v>
      </c>
      <c r="U31" s="333">
        <f>SHGs_19!F31</f>
        <v>0</v>
      </c>
      <c r="V31" s="371">
        <v>0</v>
      </c>
      <c r="W31" s="333">
        <v>0</v>
      </c>
      <c r="X31" s="333">
        <v>0</v>
      </c>
      <c r="Y31" s="333">
        <v>0</v>
      </c>
      <c r="Z31" s="333">
        <v>0</v>
      </c>
      <c r="AA31" s="371">
        <v>0</v>
      </c>
    </row>
    <row r="32" spans="1:29" ht="12" customHeight="1" x14ac:dyDescent="0.15">
      <c r="A32" s="218">
        <v>26</v>
      </c>
      <c r="B32" s="219" t="s">
        <v>187</v>
      </c>
      <c r="C32" s="333">
        <v>55</v>
      </c>
      <c r="D32" s="333">
        <v>84</v>
      </c>
      <c r="E32" s="333">
        <v>91</v>
      </c>
      <c r="F32" s="333">
        <v>135</v>
      </c>
      <c r="G32" s="371">
        <f t="shared" si="0"/>
        <v>62.222222222222221</v>
      </c>
      <c r="H32" s="333">
        <v>0</v>
      </c>
      <c r="I32" s="333">
        <v>0</v>
      </c>
      <c r="J32" s="333">
        <v>0</v>
      </c>
      <c r="K32" s="333">
        <v>0</v>
      </c>
      <c r="L32" s="371">
        <v>0</v>
      </c>
      <c r="M32" s="333">
        <v>0</v>
      </c>
      <c r="N32" s="333">
        <v>0</v>
      </c>
      <c r="O32" s="333">
        <v>0</v>
      </c>
      <c r="P32" s="333">
        <v>0</v>
      </c>
      <c r="Q32" s="371">
        <v>0</v>
      </c>
      <c r="R32" s="333">
        <v>0</v>
      </c>
      <c r="S32" s="333">
        <v>0</v>
      </c>
      <c r="T32" s="333">
        <f>SHGs_19!E32</f>
        <v>0</v>
      </c>
      <c r="U32" s="333">
        <f>SHGs_19!F32</f>
        <v>0</v>
      </c>
      <c r="V32" s="371">
        <v>0</v>
      </c>
      <c r="W32" s="333">
        <v>0</v>
      </c>
      <c r="X32" s="333">
        <v>0</v>
      </c>
      <c r="Y32" s="333">
        <v>0</v>
      </c>
      <c r="Z32" s="333">
        <v>0</v>
      </c>
      <c r="AA32" s="371">
        <v>0</v>
      </c>
    </row>
    <row r="33" spans="1:29" ht="12" customHeight="1" x14ac:dyDescent="0.15">
      <c r="A33" s="218">
        <v>27</v>
      </c>
      <c r="B33" s="219" t="s">
        <v>188</v>
      </c>
      <c r="C33" s="333">
        <v>0</v>
      </c>
      <c r="D33" s="333">
        <v>0</v>
      </c>
      <c r="E33" s="333">
        <v>0</v>
      </c>
      <c r="F33" s="333">
        <v>0</v>
      </c>
      <c r="G33" s="371">
        <v>0</v>
      </c>
      <c r="H33" s="333">
        <v>0</v>
      </c>
      <c r="I33" s="333">
        <v>0</v>
      </c>
      <c r="J33" s="333">
        <v>0</v>
      </c>
      <c r="K33" s="333">
        <v>0</v>
      </c>
      <c r="L33" s="371">
        <v>0</v>
      </c>
      <c r="M33" s="333">
        <v>0</v>
      </c>
      <c r="N33" s="333">
        <v>0</v>
      </c>
      <c r="O33" s="333">
        <v>0</v>
      </c>
      <c r="P33" s="333">
        <v>0</v>
      </c>
      <c r="Q33" s="371">
        <v>0</v>
      </c>
      <c r="R33" s="333">
        <v>1</v>
      </c>
      <c r="S33" s="333">
        <v>2.31</v>
      </c>
      <c r="T33" s="333">
        <f>SHGs_19!E33</f>
        <v>0</v>
      </c>
      <c r="U33" s="333">
        <f>SHGs_19!F33</f>
        <v>0</v>
      </c>
      <c r="V33" s="371">
        <v>0</v>
      </c>
      <c r="W33" s="333">
        <v>34</v>
      </c>
      <c r="X33" s="333">
        <v>208.08</v>
      </c>
      <c r="Y33" s="333">
        <v>96</v>
      </c>
      <c r="Z33" s="333">
        <v>512.16</v>
      </c>
      <c r="AA33" s="371">
        <f t="shared" si="4"/>
        <v>40.62792877225867</v>
      </c>
    </row>
    <row r="34" spans="1:29" ht="12" customHeight="1" x14ac:dyDescent="0.15">
      <c r="A34" s="218">
        <v>28</v>
      </c>
      <c r="B34" s="219" t="s">
        <v>67</v>
      </c>
      <c r="C34" s="333">
        <v>0</v>
      </c>
      <c r="D34" s="333">
        <v>0</v>
      </c>
      <c r="E34" s="333">
        <v>0</v>
      </c>
      <c r="F34" s="333">
        <v>0</v>
      </c>
      <c r="G34" s="371">
        <v>0</v>
      </c>
      <c r="H34" s="333">
        <v>0</v>
      </c>
      <c r="I34" s="333">
        <v>0</v>
      </c>
      <c r="J34" s="333">
        <v>0</v>
      </c>
      <c r="K34" s="333">
        <v>0</v>
      </c>
      <c r="L34" s="371">
        <v>0</v>
      </c>
      <c r="M34" s="333">
        <v>0</v>
      </c>
      <c r="N34" s="333">
        <v>0</v>
      </c>
      <c r="O34" s="333">
        <v>0</v>
      </c>
      <c r="P34" s="333">
        <v>0</v>
      </c>
      <c r="Q34" s="371">
        <v>0</v>
      </c>
      <c r="R34" s="333">
        <v>0</v>
      </c>
      <c r="S34" s="333">
        <v>0</v>
      </c>
      <c r="T34" s="333">
        <f>SHGs_19!E34</f>
        <v>0</v>
      </c>
      <c r="U34" s="333">
        <f>SHGs_19!F34</f>
        <v>0</v>
      </c>
      <c r="V34" s="371">
        <v>0</v>
      </c>
      <c r="W34" s="333">
        <v>0</v>
      </c>
      <c r="X34" s="333">
        <v>0</v>
      </c>
      <c r="Y34" s="333">
        <v>0</v>
      </c>
      <c r="Z34" s="333">
        <v>0</v>
      </c>
      <c r="AA34" s="371">
        <v>0</v>
      </c>
    </row>
    <row r="35" spans="1:29" ht="12" customHeight="1" x14ac:dyDescent="0.15">
      <c r="A35" s="218">
        <v>29</v>
      </c>
      <c r="B35" s="219" t="s">
        <v>189</v>
      </c>
      <c r="C35" s="333">
        <v>0</v>
      </c>
      <c r="D35" s="333">
        <v>0</v>
      </c>
      <c r="E35" s="333">
        <v>0</v>
      </c>
      <c r="F35" s="333">
        <v>0</v>
      </c>
      <c r="G35" s="371">
        <v>0</v>
      </c>
      <c r="H35" s="333">
        <v>0</v>
      </c>
      <c r="I35" s="333">
        <v>0</v>
      </c>
      <c r="J35" s="333">
        <v>0</v>
      </c>
      <c r="K35" s="333">
        <v>0</v>
      </c>
      <c r="L35" s="371">
        <v>0</v>
      </c>
      <c r="M35" s="333">
        <v>0</v>
      </c>
      <c r="N35" s="333">
        <v>0</v>
      </c>
      <c r="O35" s="333">
        <v>0</v>
      </c>
      <c r="P35" s="333">
        <v>0</v>
      </c>
      <c r="Q35" s="371">
        <v>0</v>
      </c>
      <c r="R35" s="333">
        <v>0</v>
      </c>
      <c r="S35" s="333">
        <v>0</v>
      </c>
      <c r="T35" s="333">
        <f>SHGs_19!E35</f>
        <v>0</v>
      </c>
      <c r="U35" s="333">
        <f>SHGs_19!F35</f>
        <v>0</v>
      </c>
      <c r="V35" s="371">
        <v>0</v>
      </c>
      <c r="W35" s="333">
        <v>13</v>
      </c>
      <c r="X35" s="333">
        <v>42</v>
      </c>
      <c r="Y35" s="333">
        <v>44403</v>
      </c>
      <c r="Z35" s="333">
        <v>14736</v>
      </c>
      <c r="AA35" s="371">
        <f t="shared" si="4"/>
        <v>0.28501628664495116</v>
      </c>
    </row>
    <row r="36" spans="1:29" ht="12" customHeight="1" x14ac:dyDescent="0.15">
      <c r="A36" s="218">
        <v>30</v>
      </c>
      <c r="B36" s="219" t="s">
        <v>190</v>
      </c>
      <c r="C36" s="333">
        <v>0</v>
      </c>
      <c r="D36" s="333">
        <v>0</v>
      </c>
      <c r="E36" s="333">
        <v>0</v>
      </c>
      <c r="F36" s="333">
        <v>0</v>
      </c>
      <c r="G36" s="371">
        <v>0</v>
      </c>
      <c r="H36" s="333">
        <v>0</v>
      </c>
      <c r="I36" s="333">
        <v>0</v>
      </c>
      <c r="J36" s="333">
        <v>0</v>
      </c>
      <c r="K36" s="333">
        <v>0</v>
      </c>
      <c r="L36" s="371">
        <v>0</v>
      </c>
      <c r="M36" s="333">
        <v>0</v>
      </c>
      <c r="N36" s="333">
        <v>0</v>
      </c>
      <c r="O36" s="333">
        <v>0</v>
      </c>
      <c r="P36" s="333">
        <v>0</v>
      </c>
      <c r="Q36" s="371">
        <v>0</v>
      </c>
      <c r="R36" s="333">
        <v>0</v>
      </c>
      <c r="S36" s="333">
        <v>0</v>
      </c>
      <c r="T36" s="333">
        <f>SHGs_19!E36</f>
        <v>0</v>
      </c>
      <c r="U36" s="333">
        <f>SHGs_19!F36</f>
        <v>0</v>
      </c>
      <c r="V36" s="371">
        <v>0</v>
      </c>
      <c r="W36" s="333">
        <v>0</v>
      </c>
      <c r="X36" s="333">
        <v>0</v>
      </c>
      <c r="Y36" s="333">
        <v>0</v>
      </c>
      <c r="Z36" s="333">
        <v>0</v>
      </c>
      <c r="AA36" s="371">
        <v>0</v>
      </c>
    </row>
    <row r="37" spans="1:29" ht="12" customHeight="1" x14ac:dyDescent="0.15">
      <c r="A37" s="218">
        <v>31</v>
      </c>
      <c r="B37" s="219" t="s">
        <v>191</v>
      </c>
      <c r="C37" s="333">
        <v>0</v>
      </c>
      <c r="D37" s="333">
        <v>0</v>
      </c>
      <c r="E37" s="333">
        <v>0</v>
      </c>
      <c r="F37" s="333">
        <v>0</v>
      </c>
      <c r="G37" s="371">
        <v>0</v>
      </c>
      <c r="H37" s="333">
        <v>0</v>
      </c>
      <c r="I37" s="333">
        <v>0</v>
      </c>
      <c r="J37" s="333">
        <v>0</v>
      </c>
      <c r="K37" s="333">
        <v>0</v>
      </c>
      <c r="L37" s="371">
        <v>0</v>
      </c>
      <c r="M37" s="333">
        <v>0</v>
      </c>
      <c r="N37" s="333">
        <v>0</v>
      </c>
      <c r="O37" s="333">
        <v>0</v>
      </c>
      <c r="P37" s="333">
        <v>0</v>
      </c>
      <c r="Q37" s="371">
        <v>0</v>
      </c>
      <c r="R37" s="333">
        <v>0</v>
      </c>
      <c r="S37" s="333">
        <v>0</v>
      </c>
      <c r="T37" s="333">
        <f>SHGs_19!E37</f>
        <v>0</v>
      </c>
      <c r="U37" s="333">
        <f>SHGs_19!F37</f>
        <v>0</v>
      </c>
      <c r="V37" s="371">
        <v>0</v>
      </c>
      <c r="W37" s="333">
        <v>431</v>
      </c>
      <c r="X37" s="333">
        <v>347</v>
      </c>
      <c r="Y37" s="333">
        <v>21207</v>
      </c>
      <c r="Z37" s="333">
        <v>5922</v>
      </c>
      <c r="AA37" s="371">
        <f t="shared" si="4"/>
        <v>5.8595069233367107</v>
      </c>
    </row>
    <row r="38" spans="1:29" ht="12" customHeight="1" x14ac:dyDescent="0.15">
      <c r="A38" s="218">
        <v>32</v>
      </c>
      <c r="B38" s="219" t="s">
        <v>71</v>
      </c>
      <c r="C38" s="333">
        <v>0</v>
      </c>
      <c r="D38" s="333">
        <v>0</v>
      </c>
      <c r="E38" s="333">
        <v>0</v>
      </c>
      <c r="F38" s="333">
        <v>0</v>
      </c>
      <c r="G38" s="371">
        <v>0</v>
      </c>
      <c r="H38" s="333">
        <v>0</v>
      </c>
      <c r="I38" s="333">
        <v>0</v>
      </c>
      <c r="J38" s="333">
        <v>0</v>
      </c>
      <c r="K38" s="333">
        <v>0</v>
      </c>
      <c r="L38" s="371">
        <v>0</v>
      </c>
      <c r="M38" s="333">
        <v>0</v>
      </c>
      <c r="N38" s="333">
        <v>0</v>
      </c>
      <c r="O38" s="333">
        <v>0</v>
      </c>
      <c r="P38" s="333">
        <v>0</v>
      </c>
      <c r="Q38" s="371">
        <v>0</v>
      </c>
      <c r="R38" s="333">
        <v>0</v>
      </c>
      <c r="S38" s="333">
        <v>0</v>
      </c>
      <c r="T38" s="333">
        <f>SHGs_19!E38</f>
        <v>0</v>
      </c>
      <c r="U38" s="333">
        <f>SHGs_19!F38</f>
        <v>0</v>
      </c>
      <c r="V38" s="371">
        <v>0</v>
      </c>
      <c r="W38" s="333">
        <v>0</v>
      </c>
      <c r="X38" s="333">
        <v>0</v>
      </c>
      <c r="Y38" s="333">
        <v>13</v>
      </c>
      <c r="Z38" s="333">
        <v>55</v>
      </c>
      <c r="AA38" s="371">
        <f t="shared" si="4"/>
        <v>0</v>
      </c>
    </row>
    <row r="39" spans="1:29" ht="12" customHeight="1" x14ac:dyDescent="0.15">
      <c r="A39" s="218">
        <v>33</v>
      </c>
      <c r="B39" s="219" t="s">
        <v>192</v>
      </c>
      <c r="C39" s="333">
        <v>0</v>
      </c>
      <c r="D39" s="333">
        <v>0</v>
      </c>
      <c r="E39" s="333">
        <v>0</v>
      </c>
      <c r="F39" s="333">
        <v>0</v>
      </c>
      <c r="G39" s="371">
        <v>0</v>
      </c>
      <c r="H39" s="333">
        <v>0</v>
      </c>
      <c r="I39" s="333">
        <v>0</v>
      </c>
      <c r="J39" s="333">
        <v>0</v>
      </c>
      <c r="K39" s="333">
        <v>0</v>
      </c>
      <c r="L39" s="371">
        <v>0</v>
      </c>
      <c r="M39" s="333">
        <v>0</v>
      </c>
      <c r="N39" s="333">
        <v>0</v>
      </c>
      <c r="O39" s="333">
        <v>0</v>
      </c>
      <c r="P39" s="333">
        <v>0</v>
      </c>
      <c r="Q39" s="371">
        <v>0</v>
      </c>
      <c r="R39" s="333">
        <v>0</v>
      </c>
      <c r="S39" s="333">
        <v>0</v>
      </c>
      <c r="T39" s="333">
        <f>SHGs_19!E39</f>
        <v>0</v>
      </c>
      <c r="U39" s="333">
        <f>SHGs_19!F39</f>
        <v>0</v>
      </c>
      <c r="V39" s="371">
        <v>0</v>
      </c>
      <c r="W39" s="333">
        <v>0</v>
      </c>
      <c r="X39" s="333">
        <v>0</v>
      </c>
      <c r="Y39" s="333">
        <v>0</v>
      </c>
      <c r="Z39" s="333">
        <v>0</v>
      </c>
      <c r="AA39" s="371">
        <v>0</v>
      </c>
    </row>
    <row r="40" spans="1:29" ht="12" customHeight="1" x14ac:dyDescent="0.15">
      <c r="A40" s="218">
        <v>34</v>
      </c>
      <c r="B40" s="219" t="s">
        <v>70</v>
      </c>
      <c r="C40" s="333">
        <v>0</v>
      </c>
      <c r="D40" s="333">
        <v>0</v>
      </c>
      <c r="E40" s="333">
        <v>0</v>
      </c>
      <c r="F40" s="333">
        <v>0</v>
      </c>
      <c r="G40" s="371">
        <v>0</v>
      </c>
      <c r="H40" s="333">
        <v>0</v>
      </c>
      <c r="I40" s="333">
        <v>0</v>
      </c>
      <c r="J40" s="333">
        <v>0</v>
      </c>
      <c r="K40" s="333">
        <v>0</v>
      </c>
      <c r="L40" s="371">
        <v>0</v>
      </c>
      <c r="M40" s="333">
        <v>0</v>
      </c>
      <c r="N40" s="333">
        <v>0</v>
      </c>
      <c r="O40" s="333">
        <v>0</v>
      </c>
      <c r="P40" s="333">
        <v>0</v>
      </c>
      <c r="Q40" s="371">
        <v>0</v>
      </c>
      <c r="R40" s="333">
        <v>0</v>
      </c>
      <c r="S40" s="333">
        <v>0</v>
      </c>
      <c r="T40" s="333">
        <f>SHGs_19!E40</f>
        <v>0</v>
      </c>
      <c r="U40" s="333">
        <f>SHGs_19!F40</f>
        <v>0</v>
      </c>
      <c r="V40" s="371">
        <v>0</v>
      </c>
      <c r="W40" s="333">
        <v>0</v>
      </c>
      <c r="X40" s="333">
        <v>0</v>
      </c>
      <c r="Y40" s="333">
        <v>0</v>
      </c>
      <c r="Z40" s="333">
        <v>0</v>
      </c>
      <c r="AA40" s="371">
        <v>0</v>
      </c>
    </row>
    <row r="41" spans="1:29" s="69" customFormat="1" ht="12" customHeight="1" x14ac:dyDescent="0.15">
      <c r="A41" s="220"/>
      <c r="B41" s="221" t="s">
        <v>213</v>
      </c>
      <c r="C41" s="370">
        <f>SUM(C19:C40)</f>
        <v>55</v>
      </c>
      <c r="D41" s="370">
        <f t="shared" ref="D41:E41" si="6">SUM(D19:D40)</f>
        <v>84</v>
      </c>
      <c r="E41" s="370">
        <f t="shared" si="6"/>
        <v>91</v>
      </c>
      <c r="F41" s="370">
        <f t="shared" ref="F41" si="7">SUM(F19:F40)</f>
        <v>135</v>
      </c>
      <c r="G41" s="372">
        <f t="shared" si="0"/>
        <v>62.222222222222221</v>
      </c>
      <c r="H41" s="370">
        <f t="shared" ref="H41" si="8">SUM(H19:H40)</f>
        <v>33</v>
      </c>
      <c r="I41" s="370">
        <f t="shared" ref="I41" si="9">SUM(I19:I40)</f>
        <v>72.14</v>
      </c>
      <c r="J41" s="370">
        <f t="shared" ref="J41" si="10">SUM(J19:J40)</f>
        <v>163</v>
      </c>
      <c r="K41" s="370">
        <f t="shared" ref="K41" si="11">SUM(K19:K40)</f>
        <v>999.65</v>
      </c>
      <c r="L41" s="372">
        <f t="shared" si="1"/>
        <v>7.2165257840244088</v>
      </c>
      <c r="M41" s="370">
        <f t="shared" ref="M41" si="12">SUM(M19:M40)</f>
        <v>0</v>
      </c>
      <c r="N41" s="370">
        <f t="shared" ref="N41" si="13">SUM(N19:N40)</f>
        <v>0</v>
      </c>
      <c r="O41" s="370">
        <f t="shared" ref="O41" si="14">SUM(O19:O40)</f>
        <v>0</v>
      </c>
      <c r="P41" s="370">
        <f t="shared" ref="P41" si="15">SUM(P19:P40)</f>
        <v>0</v>
      </c>
      <c r="Q41" s="372">
        <v>0</v>
      </c>
      <c r="R41" s="370">
        <f t="shared" ref="R41" si="16">SUM(R19:R40)</f>
        <v>369</v>
      </c>
      <c r="S41" s="370">
        <f t="shared" ref="S41" si="17">SUM(S19:S40)</f>
        <v>185.54</v>
      </c>
      <c r="T41" s="370">
        <f>SHGs_19!E41</f>
        <v>6611</v>
      </c>
      <c r="U41" s="370">
        <f>SHGs_19!F41</f>
        <v>7188.4400000000005</v>
      </c>
      <c r="V41" s="372">
        <f t="shared" si="3"/>
        <v>2.5810885254658866</v>
      </c>
      <c r="W41" s="370">
        <f t="shared" ref="W41" si="18">SUM(W19:W40)</f>
        <v>20360</v>
      </c>
      <c r="X41" s="370">
        <f t="shared" ref="X41" si="19">SUM(X19:X40)</f>
        <v>4463.87</v>
      </c>
      <c r="Y41" s="370">
        <f t="shared" ref="Y41" si="20">SUM(Y19:Y40)</f>
        <v>457088</v>
      </c>
      <c r="Z41" s="370">
        <f t="shared" ref="Z41" si="21">SUM(Z19:Z40)</f>
        <v>181501.87</v>
      </c>
      <c r="AA41" s="372">
        <f t="shared" si="4"/>
        <v>2.4594071675404776</v>
      </c>
      <c r="AB41" s="74"/>
      <c r="AC41" s="74"/>
    </row>
    <row r="42" spans="1:29" s="69" customFormat="1" ht="12" customHeight="1" x14ac:dyDescent="0.15">
      <c r="A42" s="220"/>
      <c r="B42" s="221" t="s">
        <v>311</v>
      </c>
      <c r="C42" s="370">
        <v>55</v>
      </c>
      <c r="D42" s="370">
        <v>84</v>
      </c>
      <c r="E42" s="370">
        <f>E41+E18</f>
        <v>122022</v>
      </c>
      <c r="F42" s="370">
        <f t="shared" ref="F42:Z42" si="22">F41+F18</f>
        <v>387624.28</v>
      </c>
      <c r="G42" s="372">
        <f t="shared" si="0"/>
        <v>2.1670469146050395E-2</v>
      </c>
      <c r="H42" s="370">
        <f t="shared" si="22"/>
        <v>4985</v>
      </c>
      <c r="I42" s="370">
        <f t="shared" si="22"/>
        <v>18138.599999999999</v>
      </c>
      <c r="J42" s="370">
        <f t="shared" si="22"/>
        <v>22975</v>
      </c>
      <c r="K42" s="370">
        <f t="shared" si="22"/>
        <v>165543.35</v>
      </c>
      <c r="L42" s="372">
        <f t="shared" si="1"/>
        <v>10.957009145942738</v>
      </c>
      <c r="M42" s="370">
        <f t="shared" si="22"/>
        <v>141097</v>
      </c>
      <c r="N42" s="370">
        <f t="shared" si="22"/>
        <v>95160.47</v>
      </c>
      <c r="O42" s="370">
        <f t="shared" si="22"/>
        <v>358927</v>
      </c>
      <c r="P42" s="370">
        <f t="shared" si="22"/>
        <v>251955.58000000002</v>
      </c>
      <c r="Q42" s="372">
        <f t="shared" si="2"/>
        <v>37.768748761190366</v>
      </c>
      <c r="R42" s="370">
        <f t="shared" si="22"/>
        <v>11473</v>
      </c>
      <c r="S42" s="370">
        <f t="shared" si="22"/>
        <v>7272.83</v>
      </c>
      <c r="T42" s="370">
        <f>SHGs_19!E42</f>
        <v>59710</v>
      </c>
      <c r="U42" s="370">
        <f>SHGs_19!F42</f>
        <v>66148.05</v>
      </c>
      <c r="V42" s="372">
        <f t="shared" si="3"/>
        <v>10.994776112069818</v>
      </c>
      <c r="W42" s="370">
        <f t="shared" si="22"/>
        <v>167561</v>
      </c>
      <c r="X42" s="370">
        <f t="shared" si="22"/>
        <v>157243.85999999999</v>
      </c>
      <c r="Y42" s="370">
        <f t="shared" si="22"/>
        <v>1223301</v>
      </c>
      <c r="Z42" s="370">
        <f t="shared" si="22"/>
        <v>1003762.88</v>
      </c>
      <c r="AA42" s="372">
        <f t="shared" si="4"/>
        <v>15.665438833522114</v>
      </c>
      <c r="AB42" s="74"/>
      <c r="AC42" s="74"/>
    </row>
    <row r="43" spans="1:29" ht="12" customHeight="1" x14ac:dyDescent="0.15">
      <c r="A43" s="218">
        <v>35</v>
      </c>
      <c r="B43" s="219" t="s">
        <v>193</v>
      </c>
      <c r="C43" s="333">
        <v>4936</v>
      </c>
      <c r="D43" s="333">
        <v>2143</v>
      </c>
      <c r="E43" s="333">
        <v>11857</v>
      </c>
      <c r="F43" s="333">
        <v>5798</v>
      </c>
      <c r="G43" s="371">
        <f t="shared" si="0"/>
        <v>36.961021041738533</v>
      </c>
      <c r="H43" s="333">
        <v>35</v>
      </c>
      <c r="I43" s="333">
        <v>25</v>
      </c>
      <c r="J43" s="333">
        <v>298</v>
      </c>
      <c r="K43" s="333">
        <v>797</v>
      </c>
      <c r="L43" s="371">
        <f t="shared" si="1"/>
        <v>3.1367628607277291</v>
      </c>
      <c r="M43" s="333">
        <v>28562</v>
      </c>
      <c r="N43" s="333">
        <v>19636</v>
      </c>
      <c r="O43" s="333">
        <v>58488</v>
      </c>
      <c r="P43" s="333">
        <v>39755</v>
      </c>
      <c r="Q43" s="371">
        <f t="shared" si="2"/>
        <v>49.392529241604826</v>
      </c>
      <c r="R43" s="333">
        <v>1339</v>
      </c>
      <c r="S43" s="333">
        <v>633</v>
      </c>
      <c r="T43" s="333">
        <f>SHGs_19!E43</f>
        <v>34971</v>
      </c>
      <c r="U43" s="333">
        <f>SHGs_19!F43</f>
        <v>15377</v>
      </c>
      <c r="V43" s="371">
        <f t="shared" si="3"/>
        <v>4.116537686154647</v>
      </c>
      <c r="W43" s="333">
        <v>8657</v>
      </c>
      <c r="X43" s="333">
        <v>3573</v>
      </c>
      <c r="Y43" s="333">
        <v>28059</v>
      </c>
      <c r="Z43" s="333">
        <v>14123</v>
      </c>
      <c r="AA43" s="371">
        <f t="shared" si="4"/>
        <v>25.2991574028181</v>
      </c>
    </row>
    <row r="44" spans="1:29" ht="12" customHeight="1" x14ac:dyDescent="0.15">
      <c r="A44" s="218">
        <v>36</v>
      </c>
      <c r="B44" s="219" t="s">
        <v>382</v>
      </c>
      <c r="C44" s="333">
        <v>7125</v>
      </c>
      <c r="D44" s="333">
        <v>3150.9</v>
      </c>
      <c r="E44" s="333">
        <v>27895</v>
      </c>
      <c r="F44" s="333">
        <v>16764.84</v>
      </c>
      <c r="G44" s="371">
        <f t="shared" si="0"/>
        <v>18.794691747729175</v>
      </c>
      <c r="H44" s="333">
        <v>170</v>
      </c>
      <c r="I44" s="333">
        <v>59.51</v>
      </c>
      <c r="J44" s="333">
        <v>535</v>
      </c>
      <c r="K44" s="333">
        <v>2256.8200000000002</v>
      </c>
      <c r="L44" s="371">
        <f t="shared" si="1"/>
        <v>2.6368961636284682</v>
      </c>
      <c r="M44" s="333">
        <v>114554</v>
      </c>
      <c r="N44" s="333">
        <v>45887.01</v>
      </c>
      <c r="O44" s="333">
        <v>199990</v>
      </c>
      <c r="P44" s="333">
        <v>80547.899999999994</v>
      </c>
      <c r="Q44" s="371">
        <f t="shared" si="2"/>
        <v>56.968598808907501</v>
      </c>
      <c r="R44" s="333">
        <v>4629</v>
      </c>
      <c r="S44" s="333">
        <v>2069.04</v>
      </c>
      <c r="T44" s="333">
        <f>SHGs_19!E44</f>
        <v>47004</v>
      </c>
      <c r="U44" s="333">
        <f>SHGs_19!F44</f>
        <v>38767.629999999997</v>
      </c>
      <c r="V44" s="371">
        <f t="shared" si="3"/>
        <v>5.3370298880793081</v>
      </c>
      <c r="W44" s="333">
        <v>14283</v>
      </c>
      <c r="X44" s="333">
        <v>8741.83</v>
      </c>
      <c r="Y44" s="333">
        <v>136602</v>
      </c>
      <c r="Z44" s="333">
        <v>105524.17</v>
      </c>
      <c r="AA44" s="371">
        <f t="shared" si="4"/>
        <v>8.284196881150546</v>
      </c>
    </row>
    <row r="45" spans="1:29" s="69" customFormat="1" ht="12" customHeight="1" x14ac:dyDescent="0.15">
      <c r="A45" s="220"/>
      <c r="B45" s="221" t="s">
        <v>216</v>
      </c>
      <c r="C45" s="370">
        <v>12061</v>
      </c>
      <c r="D45" s="370">
        <v>5293.9</v>
      </c>
      <c r="E45" s="370">
        <f>SUM(E43:E44)</f>
        <v>39752</v>
      </c>
      <c r="F45" s="370">
        <f t="shared" ref="F45:Z45" si="23">SUM(F43:F44)</f>
        <v>22562.84</v>
      </c>
      <c r="G45" s="372">
        <f t="shared" si="0"/>
        <v>23.462915129478382</v>
      </c>
      <c r="H45" s="370">
        <f t="shared" si="23"/>
        <v>205</v>
      </c>
      <c r="I45" s="370">
        <f t="shared" si="23"/>
        <v>84.509999999999991</v>
      </c>
      <c r="J45" s="370">
        <f t="shared" si="23"/>
        <v>833</v>
      </c>
      <c r="K45" s="370">
        <f t="shared" si="23"/>
        <v>3053.82</v>
      </c>
      <c r="L45" s="372">
        <f t="shared" si="1"/>
        <v>2.7673536750692573</v>
      </c>
      <c r="M45" s="370">
        <f t="shared" si="23"/>
        <v>143116</v>
      </c>
      <c r="N45" s="370">
        <f t="shared" si="23"/>
        <v>65523.01</v>
      </c>
      <c r="O45" s="370">
        <f t="shared" si="23"/>
        <v>258478</v>
      </c>
      <c r="P45" s="370">
        <f t="shared" si="23"/>
        <v>120302.9</v>
      </c>
      <c r="Q45" s="372">
        <f t="shared" si="2"/>
        <v>54.465029521316616</v>
      </c>
      <c r="R45" s="370">
        <f t="shared" si="23"/>
        <v>5968</v>
      </c>
      <c r="S45" s="370">
        <f t="shared" si="23"/>
        <v>2702.04</v>
      </c>
      <c r="T45" s="370">
        <f>SHGs_19!E45</f>
        <v>81975</v>
      </c>
      <c r="U45" s="370">
        <f>SHGs_19!F45</f>
        <v>54144.63</v>
      </c>
      <c r="V45" s="372">
        <f t="shared" si="3"/>
        <v>4.990411791529465</v>
      </c>
      <c r="W45" s="370">
        <f t="shared" si="23"/>
        <v>22940</v>
      </c>
      <c r="X45" s="370">
        <f t="shared" si="23"/>
        <v>12314.83</v>
      </c>
      <c r="Y45" s="370">
        <f t="shared" si="23"/>
        <v>164661</v>
      </c>
      <c r="Z45" s="370">
        <f t="shared" si="23"/>
        <v>119647.17</v>
      </c>
      <c r="AA45" s="372">
        <f t="shared" si="4"/>
        <v>10.292621212854428</v>
      </c>
      <c r="AB45" s="74"/>
      <c r="AC45" s="74"/>
    </row>
    <row r="46" spans="1:29" ht="12" customHeight="1" x14ac:dyDescent="0.15">
      <c r="A46" s="218">
        <v>37</v>
      </c>
      <c r="B46" s="219" t="s">
        <v>312</v>
      </c>
      <c r="C46" s="333">
        <v>0</v>
      </c>
      <c r="D46" s="333">
        <v>0</v>
      </c>
      <c r="E46" s="333">
        <v>0</v>
      </c>
      <c r="F46" s="333">
        <v>0</v>
      </c>
      <c r="G46" s="371">
        <v>0</v>
      </c>
      <c r="H46" s="333">
        <v>0</v>
      </c>
      <c r="I46" s="333">
        <v>0</v>
      </c>
      <c r="J46" s="333">
        <v>0</v>
      </c>
      <c r="K46" s="333">
        <v>0</v>
      </c>
      <c r="L46" s="371">
        <v>0</v>
      </c>
      <c r="M46" s="333">
        <v>11816</v>
      </c>
      <c r="N46" s="333">
        <v>4998</v>
      </c>
      <c r="O46" s="333">
        <v>18359</v>
      </c>
      <c r="P46" s="333">
        <v>10221</v>
      </c>
      <c r="Q46" s="371">
        <f t="shared" si="2"/>
        <v>48.899324919283828</v>
      </c>
      <c r="R46" s="333">
        <v>6572</v>
      </c>
      <c r="S46" s="333">
        <v>1905</v>
      </c>
      <c r="T46" s="333">
        <f>SHGs_19!E46</f>
        <v>6737</v>
      </c>
      <c r="U46" s="333">
        <f>SHGs_19!F46</f>
        <v>9124</v>
      </c>
      <c r="V46" s="371">
        <f t="shared" si="3"/>
        <v>20.879000438404208</v>
      </c>
      <c r="W46" s="333">
        <v>0</v>
      </c>
      <c r="X46" s="333">
        <v>0</v>
      </c>
      <c r="Y46" s="333">
        <v>0</v>
      </c>
      <c r="Z46" s="333">
        <v>0</v>
      </c>
      <c r="AA46" s="371">
        <v>0</v>
      </c>
    </row>
    <row r="47" spans="1:29" s="69" customFormat="1" ht="12" customHeight="1" x14ac:dyDescent="0.15">
      <c r="A47" s="220"/>
      <c r="B47" s="221" t="s">
        <v>214</v>
      </c>
      <c r="C47" s="370">
        <v>0</v>
      </c>
      <c r="D47" s="370">
        <v>0</v>
      </c>
      <c r="E47" s="370">
        <f>E46</f>
        <v>0</v>
      </c>
      <c r="F47" s="370">
        <f t="shared" ref="F47:Z47" si="24">F46</f>
        <v>0</v>
      </c>
      <c r="G47" s="372">
        <v>0</v>
      </c>
      <c r="H47" s="370">
        <f t="shared" si="24"/>
        <v>0</v>
      </c>
      <c r="I47" s="370">
        <f t="shared" si="24"/>
        <v>0</v>
      </c>
      <c r="J47" s="370">
        <f t="shared" si="24"/>
        <v>0</v>
      </c>
      <c r="K47" s="370">
        <f t="shared" si="24"/>
        <v>0</v>
      </c>
      <c r="L47" s="372">
        <v>0</v>
      </c>
      <c r="M47" s="370">
        <f t="shared" si="24"/>
        <v>11816</v>
      </c>
      <c r="N47" s="370">
        <f t="shared" si="24"/>
        <v>4998</v>
      </c>
      <c r="O47" s="370">
        <f t="shared" si="24"/>
        <v>18359</v>
      </c>
      <c r="P47" s="370">
        <f t="shared" si="24"/>
        <v>10221</v>
      </c>
      <c r="Q47" s="372">
        <f t="shared" si="2"/>
        <v>48.899324919283828</v>
      </c>
      <c r="R47" s="370">
        <f t="shared" si="24"/>
        <v>6572</v>
      </c>
      <c r="S47" s="370">
        <f t="shared" si="24"/>
        <v>1905</v>
      </c>
      <c r="T47" s="333">
        <f>SHGs_19!E47</f>
        <v>6737</v>
      </c>
      <c r="U47" s="333">
        <f>SHGs_19!F47</f>
        <v>9124</v>
      </c>
      <c r="V47" s="372">
        <f t="shared" si="3"/>
        <v>20.879000438404208</v>
      </c>
      <c r="W47" s="370">
        <f t="shared" si="24"/>
        <v>0</v>
      </c>
      <c r="X47" s="370">
        <f t="shared" si="24"/>
        <v>0</v>
      </c>
      <c r="Y47" s="370">
        <f t="shared" si="24"/>
        <v>0</v>
      </c>
      <c r="Z47" s="370">
        <f t="shared" si="24"/>
        <v>0</v>
      </c>
      <c r="AA47" s="371">
        <v>0</v>
      </c>
      <c r="AB47" s="3"/>
      <c r="AC47" s="3"/>
    </row>
    <row r="48" spans="1:29" s="69" customFormat="1" ht="12" customHeight="1" x14ac:dyDescent="0.15">
      <c r="A48" s="218">
        <v>38</v>
      </c>
      <c r="B48" s="219" t="s">
        <v>304</v>
      </c>
      <c r="C48" s="333">
        <v>0</v>
      </c>
      <c r="D48" s="333">
        <v>0</v>
      </c>
      <c r="E48" s="333">
        <v>0</v>
      </c>
      <c r="F48" s="333">
        <v>0</v>
      </c>
      <c r="G48" s="371">
        <v>0</v>
      </c>
      <c r="H48" s="333">
        <v>0</v>
      </c>
      <c r="I48" s="333">
        <v>0</v>
      </c>
      <c r="J48" s="333">
        <v>0</v>
      </c>
      <c r="K48" s="333">
        <v>0</v>
      </c>
      <c r="L48" s="371">
        <v>0</v>
      </c>
      <c r="M48" s="333">
        <v>0</v>
      </c>
      <c r="N48" s="333">
        <v>0</v>
      </c>
      <c r="O48" s="333">
        <v>0</v>
      </c>
      <c r="P48" s="333">
        <v>0</v>
      </c>
      <c r="Q48" s="371">
        <v>0</v>
      </c>
      <c r="R48" s="333">
        <v>0</v>
      </c>
      <c r="S48" s="333">
        <v>0</v>
      </c>
      <c r="T48" s="333">
        <f>SHGs_19!E48</f>
        <v>0</v>
      </c>
      <c r="U48" s="333">
        <f>SHGs_19!F48</f>
        <v>0</v>
      </c>
      <c r="V48" s="371">
        <v>0</v>
      </c>
      <c r="W48" s="333">
        <v>0</v>
      </c>
      <c r="X48" s="333">
        <v>0</v>
      </c>
      <c r="Y48" s="333">
        <v>0</v>
      </c>
      <c r="Z48" s="333">
        <v>0</v>
      </c>
      <c r="AA48" s="371">
        <v>0</v>
      </c>
      <c r="AB48" s="3"/>
      <c r="AC48" s="3"/>
    </row>
    <row r="49" spans="1:29" ht="12" customHeight="1" x14ac:dyDescent="0.15">
      <c r="A49" s="218">
        <v>39</v>
      </c>
      <c r="B49" s="219" t="s">
        <v>305</v>
      </c>
      <c r="C49" s="333">
        <v>0</v>
      </c>
      <c r="D49" s="333">
        <v>0</v>
      </c>
      <c r="E49" s="333">
        <v>0</v>
      </c>
      <c r="F49" s="333">
        <v>0</v>
      </c>
      <c r="G49" s="371">
        <v>0</v>
      </c>
      <c r="H49" s="333">
        <v>0</v>
      </c>
      <c r="I49" s="333">
        <v>0</v>
      </c>
      <c r="J49" s="333">
        <v>0</v>
      </c>
      <c r="K49" s="333">
        <v>0</v>
      </c>
      <c r="L49" s="371">
        <v>0</v>
      </c>
      <c r="M49" s="333">
        <v>0</v>
      </c>
      <c r="N49" s="333">
        <v>0</v>
      </c>
      <c r="O49" s="333">
        <v>0</v>
      </c>
      <c r="P49" s="333">
        <v>0</v>
      </c>
      <c r="Q49" s="371">
        <v>0</v>
      </c>
      <c r="R49" s="333">
        <v>0</v>
      </c>
      <c r="S49" s="333">
        <v>0</v>
      </c>
      <c r="T49" s="333">
        <f>SHGs_19!E49</f>
        <v>0</v>
      </c>
      <c r="U49" s="333">
        <f>SHGs_19!F49</f>
        <v>0</v>
      </c>
      <c r="V49" s="371">
        <v>0</v>
      </c>
      <c r="W49" s="333">
        <v>0</v>
      </c>
      <c r="X49" s="333">
        <v>0</v>
      </c>
      <c r="Y49" s="333">
        <v>0</v>
      </c>
      <c r="Z49" s="333">
        <v>0</v>
      </c>
      <c r="AA49" s="371">
        <v>0</v>
      </c>
    </row>
    <row r="50" spans="1:29" ht="12" customHeight="1" x14ac:dyDescent="0.15">
      <c r="A50" s="218">
        <v>40</v>
      </c>
      <c r="B50" s="219" t="s">
        <v>383</v>
      </c>
      <c r="C50" s="333">
        <v>0</v>
      </c>
      <c r="D50" s="333">
        <v>0</v>
      </c>
      <c r="E50" s="333">
        <v>0</v>
      </c>
      <c r="F50" s="333">
        <v>0</v>
      </c>
      <c r="G50" s="371">
        <v>0</v>
      </c>
      <c r="H50" s="333">
        <v>0</v>
      </c>
      <c r="I50" s="333">
        <v>0</v>
      </c>
      <c r="J50" s="333">
        <v>0</v>
      </c>
      <c r="K50" s="333">
        <v>0</v>
      </c>
      <c r="L50" s="371">
        <v>0</v>
      </c>
      <c r="M50" s="333">
        <v>0</v>
      </c>
      <c r="N50" s="333">
        <v>0</v>
      </c>
      <c r="O50" s="333">
        <v>0</v>
      </c>
      <c r="P50" s="333">
        <v>0</v>
      </c>
      <c r="Q50" s="371">
        <v>0</v>
      </c>
      <c r="R50" s="333">
        <v>0</v>
      </c>
      <c r="S50" s="333">
        <v>0</v>
      </c>
      <c r="T50" s="333">
        <f>SHGs_19!E50</f>
        <v>0</v>
      </c>
      <c r="U50" s="333">
        <f>SHGs_19!F50</f>
        <v>0</v>
      </c>
      <c r="V50" s="371">
        <v>0</v>
      </c>
      <c r="W50" s="333">
        <v>15628</v>
      </c>
      <c r="X50" s="333">
        <v>2807.52</v>
      </c>
      <c r="Y50" s="333">
        <v>131386</v>
      </c>
      <c r="Z50" s="333">
        <v>29958.9</v>
      </c>
      <c r="AA50" s="371">
        <f t="shared" si="4"/>
        <v>9.3712385968777223</v>
      </c>
    </row>
    <row r="51" spans="1:29" s="69" customFormat="1" ht="12" customHeight="1" x14ac:dyDescent="0.15">
      <c r="A51" s="218">
        <v>41</v>
      </c>
      <c r="B51" s="219" t="s">
        <v>306</v>
      </c>
      <c r="C51" s="333">
        <v>0</v>
      </c>
      <c r="D51" s="333">
        <v>0</v>
      </c>
      <c r="E51" s="333">
        <v>0</v>
      </c>
      <c r="F51" s="333">
        <v>0</v>
      </c>
      <c r="G51" s="371">
        <v>0</v>
      </c>
      <c r="H51" s="333">
        <v>0</v>
      </c>
      <c r="I51" s="333">
        <v>0</v>
      </c>
      <c r="J51" s="333">
        <v>0</v>
      </c>
      <c r="K51" s="333">
        <v>0</v>
      </c>
      <c r="L51" s="371">
        <v>0</v>
      </c>
      <c r="M51" s="333">
        <v>0</v>
      </c>
      <c r="N51" s="333">
        <v>0</v>
      </c>
      <c r="O51" s="333">
        <v>0</v>
      </c>
      <c r="P51" s="333">
        <v>0</v>
      </c>
      <c r="Q51" s="371">
        <v>0</v>
      </c>
      <c r="R51" s="333">
        <v>0</v>
      </c>
      <c r="S51" s="333">
        <v>0</v>
      </c>
      <c r="T51" s="333">
        <f>SHGs_19!E51</f>
        <v>0</v>
      </c>
      <c r="U51" s="333">
        <f>SHGs_19!F51</f>
        <v>0</v>
      </c>
      <c r="V51" s="371">
        <v>0</v>
      </c>
      <c r="W51" s="333">
        <v>0</v>
      </c>
      <c r="X51" s="333">
        <v>0</v>
      </c>
      <c r="Y51" s="333">
        <v>0</v>
      </c>
      <c r="Z51" s="333">
        <v>0</v>
      </c>
      <c r="AA51" s="371">
        <v>0</v>
      </c>
      <c r="AB51" s="3"/>
      <c r="AC51" s="3"/>
    </row>
    <row r="52" spans="1:29" ht="12" customHeight="1" x14ac:dyDescent="0.15">
      <c r="A52" s="218">
        <v>42</v>
      </c>
      <c r="B52" s="219" t="s">
        <v>307</v>
      </c>
      <c r="C52" s="333">
        <v>0</v>
      </c>
      <c r="D52" s="333">
        <v>0</v>
      </c>
      <c r="E52" s="333">
        <v>0</v>
      </c>
      <c r="F52" s="333">
        <v>0</v>
      </c>
      <c r="G52" s="371">
        <v>0</v>
      </c>
      <c r="H52" s="333">
        <v>0</v>
      </c>
      <c r="I52" s="333">
        <v>0</v>
      </c>
      <c r="J52" s="333">
        <v>0</v>
      </c>
      <c r="K52" s="333">
        <v>0</v>
      </c>
      <c r="L52" s="371">
        <v>0</v>
      </c>
      <c r="M52" s="333">
        <v>0</v>
      </c>
      <c r="N52" s="333">
        <v>0</v>
      </c>
      <c r="O52" s="333">
        <v>0</v>
      </c>
      <c r="P52" s="333">
        <v>0</v>
      </c>
      <c r="Q52" s="371">
        <v>0</v>
      </c>
      <c r="R52" s="333">
        <v>0</v>
      </c>
      <c r="S52" s="333">
        <v>0</v>
      </c>
      <c r="T52" s="333">
        <f>SHGs_19!E52</f>
        <v>0</v>
      </c>
      <c r="U52" s="333">
        <f>SHGs_19!F52</f>
        <v>0</v>
      </c>
      <c r="V52" s="371">
        <v>0</v>
      </c>
      <c r="W52" s="333">
        <v>954</v>
      </c>
      <c r="X52" s="333">
        <v>664</v>
      </c>
      <c r="Y52" s="333">
        <v>7542</v>
      </c>
      <c r="Z52" s="333">
        <v>3391</v>
      </c>
      <c r="AA52" s="371">
        <f t="shared" si="4"/>
        <v>19.581244470657623</v>
      </c>
    </row>
    <row r="53" spans="1:29" s="69" customFormat="1" ht="12" customHeight="1" x14ac:dyDescent="0.15">
      <c r="A53" s="218">
        <v>43</v>
      </c>
      <c r="B53" s="219" t="s">
        <v>308</v>
      </c>
      <c r="C53" s="333">
        <v>0</v>
      </c>
      <c r="D53" s="333">
        <v>0</v>
      </c>
      <c r="E53" s="333">
        <v>0</v>
      </c>
      <c r="F53" s="333">
        <v>0</v>
      </c>
      <c r="G53" s="371">
        <v>0</v>
      </c>
      <c r="H53" s="333">
        <v>0</v>
      </c>
      <c r="I53" s="333">
        <v>0</v>
      </c>
      <c r="J53" s="333">
        <v>0</v>
      </c>
      <c r="K53" s="333">
        <v>0</v>
      </c>
      <c r="L53" s="371">
        <v>0</v>
      </c>
      <c r="M53" s="333">
        <v>0</v>
      </c>
      <c r="N53" s="333">
        <v>0</v>
      </c>
      <c r="O53" s="333">
        <v>0</v>
      </c>
      <c r="P53" s="333">
        <v>0</v>
      </c>
      <c r="Q53" s="371">
        <v>0</v>
      </c>
      <c r="R53" s="333">
        <v>0</v>
      </c>
      <c r="S53" s="333">
        <v>0</v>
      </c>
      <c r="T53" s="333">
        <f>SHGs_19!E53</f>
        <v>0</v>
      </c>
      <c r="U53" s="333">
        <f>SHGs_19!F53</f>
        <v>0</v>
      </c>
      <c r="V53" s="371">
        <v>0</v>
      </c>
      <c r="W53" s="333">
        <v>15302</v>
      </c>
      <c r="X53" s="333">
        <v>7882.86</v>
      </c>
      <c r="Y53" s="333">
        <v>101212</v>
      </c>
      <c r="Z53" s="333">
        <v>20686.349999999999</v>
      </c>
      <c r="AA53" s="371">
        <f t="shared" si="4"/>
        <v>38.106577525759739</v>
      </c>
      <c r="AB53" s="3"/>
      <c r="AC53" s="3"/>
    </row>
    <row r="54" spans="1:29" ht="12" customHeight="1" x14ac:dyDescent="0.15">
      <c r="A54" s="218">
        <v>44</v>
      </c>
      <c r="B54" s="219" t="s">
        <v>300</v>
      </c>
      <c r="C54" s="333">
        <v>0</v>
      </c>
      <c r="D54" s="333">
        <v>0</v>
      </c>
      <c r="E54" s="333">
        <v>0</v>
      </c>
      <c r="F54" s="333">
        <v>0</v>
      </c>
      <c r="G54" s="371">
        <v>0</v>
      </c>
      <c r="H54" s="333">
        <v>0</v>
      </c>
      <c r="I54" s="333">
        <v>0</v>
      </c>
      <c r="J54" s="333">
        <v>0</v>
      </c>
      <c r="K54" s="333">
        <v>0</v>
      </c>
      <c r="L54" s="371">
        <v>0</v>
      </c>
      <c r="M54" s="333">
        <v>0</v>
      </c>
      <c r="N54" s="333">
        <v>0</v>
      </c>
      <c r="O54" s="333">
        <v>0</v>
      </c>
      <c r="P54" s="333">
        <v>0</v>
      </c>
      <c r="Q54" s="371">
        <v>0</v>
      </c>
      <c r="R54" s="333">
        <v>0</v>
      </c>
      <c r="S54" s="333">
        <v>0</v>
      </c>
      <c r="T54" s="333">
        <f>SHGs_19!E54</f>
        <v>0</v>
      </c>
      <c r="U54" s="333">
        <f>SHGs_19!F54</f>
        <v>0</v>
      </c>
      <c r="V54" s="371">
        <v>0</v>
      </c>
      <c r="W54" s="333">
        <v>12244</v>
      </c>
      <c r="X54" s="333">
        <v>1934.31</v>
      </c>
      <c r="Y54" s="333">
        <v>70231</v>
      </c>
      <c r="Z54" s="333">
        <v>15055.66</v>
      </c>
      <c r="AA54" s="371">
        <f t="shared" si="4"/>
        <v>12.847726370016327</v>
      </c>
    </row>
    <row r="55" spans="1:29" ht="12" customHeight="1" x14ac:dyDescent="0.15">
      <c r="A55" s="218">
        <v>45</v>
      </c>
      <c r="B55" s="219" t="s">
        <v>309</v>
      </c>
      <c r="C55" s="333">
        <v>0</v>
      </c>
      <c r="D55" s="333">
        <v>0</v>
      </c>
      <c r="E55" s="333">
        <v>0</v>
      </c>
      <c r="F55" s="333">
        <v>0</v>
      </c>
      <c r="G55" s="371">
        <v>0</v>
      </c>
      <c r="H55" s="333">
        <v>0</v>
      </c>
      <c r="I55" s="333">
        <v>0</v>
      </c>
      <c r="J55" s="333">
        <v>0</v>
      </c>
      <c r="K55" s="333">
        <v>0</v>
      </c>
      <c r="L55" s="371">
        <v>0</v>
      </c>
      <c r="M55" s="333">
        <v>0</v>
      </c>
      <c r="N55" s="333">
        <v>0</v>
      </c>
      <c r="O55" s="333">
        <v>0</v>
      </c>
      <c r="P55" s="333">
        <v>0</v>
      </c>
      <c r="Q55" s="371">
        <v>0</v>
      </c>
      <c r="R55" s="333">
        <v>0</v>
      </c>
      <c r="S55" s="333">
        <v>0</v>
      </c>
      <c r="T55" s="333">
        <f>SHGs_19!E55</f>
        <v>0</v>
      </c>
      <c r="U55" s="333">
        <f>SHGs_19!F55</f>
        <v>0</v>
      </c>
      <c r="V55" s="371">
        <v>0</v>
      </c>
      <c r="W55" s="333">
        <v>1475</v>
      </c>
      <c r="X55" s="333">
        <v>605</v>
      </c>
      <c r="Y55" s="333">
        <v>36915</v>
      </c>
      <c r="Z55" s="333">
        <v>153203</v>
      </c>
      <c r="AA55" s="371">
        <f t="shared" si="4"/>
        <v>0.39490088314197502</v>
      </c>
    </row>
    <row r="56" spans="1:29" s="69" customFormat="1" ht="12" customHeight="1" x14ac:dyDescent="0.15">
      <c r="A56" s="220"/>
      <c r="B56" s="221" t="s">
        <v>310</v>
      </c>
      <c r="C56" s="370">
        <v>0</v>
      </c>
      <c r="D56" s="370">
        <v>0</v>
      </c>
      <c r="E56" s="370">
        <f>SUM(E48:E55)</f>
        <v>0</v>
      </c>
      <c r="F56" s="370">
        <f t="shared" ref="F56:Z56" si="25">SUM(F48:F55)</f>
        <v>0</v>
      </c>
      <c r="G56" s="372">
        <v>0</v>
      </c>
      <c r="H56" s="370">
        <f t="shared" si="25"/>
        <v>0</v>
      </c>
      <c r="I56" s="370">
        <f t="shared" si="25"/>
        <v>0</v>
      </c>
      <c r="J56" s="370">
        <f t="shared" si="25"/>
        <v>0</v>
      </c>
      <c r="K56" s="370">
        <f t="shared" si="25"/>
        <v>0</v>
      </c>
      <c r="L56" s="372">
        <v>0</v>
      </c>
      <c r="M56" s="370">
        <f t="shared" si="25"/>
        <v>0</v>
      </c>
      <c r="N56" s="370">
        <f t="shared" si="25"/>
        <v>0</v>
      </c>
      <c r="O56" s="370">
        <f t="shared" si="25"/>
        <v>0</v>
      </c>
      <c r="P56" s="370">
        <f t="shared" si="25"/>
        <v>0</v>
      </c>
      <c r="Q56" s="372">
        <v>0</v>
      </c>
      <c r="R56" s="370">
        <f t="shared" si="25"/>
        <v>0</v>
      </c>
      <c r="S56" s="370">
        <f t="shared" si="25"/>
        <v>0</v>
      </c>
      <c r="T56" s="370">
        <f>SHGs_19!E56</f>
        <v>0</v>
      </c>
      <c r="U56" s="370">
        <f>SHGs_19!F56</f>
        <v>0</v>
      </c>
      <c r="V56" s="372">
        <v>0</v>
      </c>
      <c r="W56" s="370">
        <f t="shared" si="25"/>
        <v>45603</v>
      </c>
      <c r="X56" s="370">
        <f t="shared" si="25"/>
        <v>13893.689999999999</v>
      </c>
      <c r="Y56" s="370">
        <f t="shared" si="25"/>
        <v>347286</v>
      </c>
      <c r="Z56" s="370">
        <f t="shared" si="25"/>
        <v>222294.91</v>
      </c>
      <c r="AA56" s="372">
        <f t="shared" si="4"/>
        <v>6.2501161182682941</v>
      </c>
      <c r="AB56" s="74"/>
      <c r="AC56" s="74"/>
    </row>
    <row r="57" spans="1:29" s="69" customFormat="1" ht="12" customHeight="1" x14ac:dyDescent="0.15">
      <c r="A57" s="222"/>
      <c r="B57" s="75" t="s">
        <v>0</v>
      </c>
      <c r="C57" s="370">
        <v>36610</v>
      </c>
      <c r="D57" s="370">
        <v>51316.5</v>
      </c>
      <c r="E57" s="370">
        <f>E56+E47+E45+E42</f>
        <v>161774</v>
      </c>
      <c r="F57" s="370">
        <f t="shared" ref="F57:Z57" si="26">F56+F47+F45+F42</f>
        <v>410187.12000000005</v>
      </c>
      <c r="G57" s="372">
        <f t="shared" si="0"/>
        <v>12.510509837559013</v>
      </c>
      <c r="H57" s="370">
        <f t="shared" si="26"/>
        <v>5190</v>
      </c>
      <c r="I57" s="370">
        <f t="shared" si="26"/>
        <v>18223.109999999997</v>
      </c>
      <c r="J57" s="370">
        <f t="shared" si="26"/>
        <v>23808</v>
      </c>
      <c r="K57" s="370">
        <f t="shared" si="26"/>
        <v>168597.17</v>
      </c>
      <c r="L57" s="372">
        <f t="shared" si="1"/>
        <v>10.808668971133974</v>
      </c>
      <c r="M57" s="370">
        <f t="shared" si="26"/>
        <v>296029</v>
      </c>
      <c r="N57" s="370">
        <f t="shared" si="26"/>
        <v>165681.48000000001</v>
      </c>
      <c r="O57" s="370">
        <f t="shared" si="26"/>
        <v>635764</v>
      </c>
      <c r="P57" s="370">
        <f t="shared" si="26"/>
        <v>382479.48</v>
      </c>
      <c r="Q57" s="372">
        <f t="shared" si="2"/>
        <v>43.317743477375579</v>
      </c>
      <c r="R57" s="370">
        <f t="shared" si="26"/>
        <v>24013</v>
      </c>
      <c r="S57" s="370">
        <f t="shared" si="26"/>
        <v>11879.869999999999</v>
      </c>
      <c r="T57" s="370">
        <f>SHGs_19!E57</f>
        <v>148422</v>
      </c>
      <c r="U57" s="370">
        <f>SHGs_19!F57</f>
        <v>129416.68</v>
      </c>
      <c r="V57" s="372">
        <f t="shared" si="3"/>
        <v>9.1795508894216731</v>
      </c>
      <c r="W57" s="370">
        <f t="shared" si="26"/>
        <v>236104</v>
      </c>
      <c r="X57" s="370">
        <f t="shared" si="26"/>
        <v>183452.37999999998</v>
      </c>
      <c r="Y57" s="370">
        <f t="shared" si="26"/>
        <v>1735248</v>
      </c>
      <c r="Z57" s="370">
        <f t="shared" si="26"/>
        <v>1345704.96</v>
      </c>
      <c r="AA57" s="372">
        <f t="shared" si="4"/>
        <v>13.632436934764659</v>
      </c>
      <c r="AB57" s="74"/>
      <c r="AC57" s="74"/>
    </row>
    <row r="58" spans="1:29" ht="25.5" customHeight="1" x14ac:dyDescent="0.2">
      <c r="N58" s="462" t="s">
        <v>1086</v>
      </c>
      <c r="O58" s="462"/>
    </row>
  </sheetData>
  <mergeCells count="25">
    <mergeCell ref="N58:O58"/>
    <mergeCell ref="L4:L5"/>
    <mergeCell ref="O4:P4"/>
    <mergeCell ref="Y4:Z4"/>
    <mergeCell ref="E4:F4"/>
    <mergeCell ref="H4:I4"/>
    <mergeCell ref="Q4:Q5"/>
    <mergeCell ref="J4:K4"/>
    <mergeCell ref="M4:N4"/>
    <mergeCell ref="AA4:AA5"/>
    <mergeCell ref="V4:V5"/>
    <mergeCell ref="A1:AA1"/>
    <mergeCell ref="A2:AA2"/>
    <mergeCell ref="C3:G3"/>
    <mergeCell ref="H3:L3"/>
    <mergeCell ref="M3:Q3"/>
    <mergeCell ref="R3:V3"/>
    <mergeCell ref="W3:AA3"/>
    <mergeCell ref="A4:A5"/>
    <mergeCell ref="B4:B5"/>
    <mergeCell ref="C4:D4"/>
    <mergeCell ref="T4:U4"/>
    <mergeCell ref="G4:G5"/>
    <mergeCell ref="R4:S4"/>
    <mergeCell ref="W4:X4"/>
  </mergeCells>
  <pageMargins left="1.25" right="0.25" top="0.25" bottom="0.2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499984740745262"/>
  </sheetPr>
  <dimension ref="A1:K62"/>
  <sheetViews>
    <sheetView view="pageBreakPreview" zoomScale="90" zoomScaleNormal="100" zoomScaleSheetLayoutView="90" workbookViewId="0">
      <pane xSplit="2" ySplit="5" topLeftCell="C35" activePane="bottomRight" state="frozen"/>
      <selection pane="topRight" activeCell="C1" sqref="C1"/>
      <selection pane="bottomLeft" activeCell="A6" sqref="A6"/>
      <selection pane="bottomRight" activeCell="E60" sqref="E60"/>
    </sheetView>
  </sheetViews>
  <sheetFormatPr baseColWidth="10" defaultColWidth="9.19921875" defaultRowHeight="14" x14ac:dyDescent="0.2"/>
  <cols>
    <col min="1" max="1" width="5.3984375" style="26" customWidth="1"/>
    <col min="2" max="2" width="35.59765625" style="23" bestFit="1" customWidth="1"/>
    <col min="3" max="3" width="9.19921875" style="53" customWidth="1"/>
    <col min="4" max="4" width="10" style="53" customWidth="1"/>
    <col min="5" max="5" width="10.796875" style="53" customWidth="1"/>
    <col min="6" max="6" width="8.796875" style="53" customWidth="1"/>
    <col min="7" max="7" width="9.796875" style="53" customWidth="1"/>
    <col min="8" max="8" width="10.59765625" style="53" customWidth="1"/>
    <col min="9" max="9" width="9.19921875" style="53" customWidth="1"/>
    <col min="10" max="10" width="8.19921875" style="53" customWidth="1"/>
    <col min="11" max="11" width="8.796875" style="53" customWidth="1"/>
    <col min="12" max="16384" width="9.19921875" style="23"/>
  </cols>
  <sheetData>
    <row r="1" spans="1:11" ht="14.25" customHeight="1" x14ac:dyDescent="0.2">
      <c r="A1" s="390" t="s">
        <v>1056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x14ac:dyDescent="0.2">
      <c r="A2" s="386" t="s">
        <v>196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ht="15" x14ac:dyDescent="0.2">
      <c r="B3" s="37" t="s">
        <v>11</v>
      </c>
      <c r="J3" s="393" t="s">
        <v>14</v>
      </c>
      <c r="K3" s="393"/>
    </row>
    <row r="4" spans="1:11" s="63" customFormat="1" ht="15" customHeight="1" x14ac:dyDescent="0.2">
      <c r="A4" s="391" t="s">
        <v>110</v>
      </c>
      <c r="B4" s="391" t="s">
        <v>2</v>
      </c>
      <c r="C4" s="388" t="s">
        <v>7</v>
      </c>
      <c r="D4" s="388"/>
      <c r="E4" s="389"/>
      <c r="F4" s="387" t="s">
        <v>8</v>
      </c>
      <c r="G4" s="388"/>
      <c r="H4" s="389"/>
      <c r="I4" s="387" t="s">
        <v>9</v>
      </c>
      <c r="J4" s="388"/>
      <c r="K4" s="389"/>
    </row>
    <row r="5" spans="1:11" ht="45" x14ac:dyDescent="0.2">
      <c r="A5" s="392"/>
      <c r="B5" s="392"/>
      <c r="C5" s="180" t="s">
        <v>3</v>
      </c>
      <c r="D5" s="181" t="s">
        <v>10</v>
      </c>
      <c r="E5" s="181" t="s">
        <v>5</v>
      </c>
      <c r="F5" s="181" t="s">
        <v>3</v>
      </c>
      <c r="G5" s="181" t="s">
        <v>10</v>
      </c>
      <c r="H5" s="181" t="s">
        <v>5</v>
      </c>
      <c r="I5" s="181" t="s">
        <v>3</v>
      </c>
      <c r="J5" s="181" t="s">
        <v>10</v>
      </c>
      <c r="K5" s="181" t="s">
        <v>5</v>
      </c>
    </row>
    <row r="6" spans="1:11" ht="14" customHeight="1" x14ac:dyDescent="0.15">
      <c r="A6" s="182">
        <v>1</v>
      </c>
      <c r="B6" s="183" t="s">
        <v>51</v>
      </c>
      <c r="C6" s="281">
        <v>95646</v>
      </c>
      <c r="D6" s="281">
        <v>383154</v>
      </c>
      <c r="E6" s="281">
        <v>1522443</v>
      </c>
      <c r="F6" s="281">
        <v>85286</v>
      </c>
      <c r="G6" s="281">
        <v>329172</v>
      </c>
      <c r="H6" s="281">
        <v>1119906</v>
      </c>
      <c r="I6" s="283">
        <f>F6*100/C6</f>
        <v>89.168391778014765</v>
      </c>
      <c r="J6" s="283">
        <f>G6*100/D6</f>
        <v>85.911147997932943</v>
      </c>
      <c r="K6" s="283">
        <f>H6*100/E6</f>
        <v>73.559798297867303</v>
      </c>
    </row>
    <row r="7" spans="1:11" ht="14" customHeight="1" x14ac:dyDescent="0.15">
      <c r="A7" s="184">
        <v>2</v>
      </c>
      <c r="B7" s="185" t="s">
        <v>52</v>
      </c>
      <c r="C7" s="281">
        <v>591876</v>
      </c>
      <c r="D7" s="281">
        <v>820939</v>
      </c>
      <c r="E7" s="281">
        <v>2212110</v>
      </c>
      <c r="F7" s="281">
        <v>643563</v>
      </c>
      <c r="G7" s="281">
        <v>562293</v>
      </c>
      <c r="H7" s="281">
        <v>1418093</v>
      </c>
      <c r="I7" s="283">
        <f t="shared" ref="I7:I41" si="0">F7*100/C7</f>
        <v>108.73274131743811</v>
      </c>
      <c r="J7" s="283">
        <f t="shared" ref="J7:J41" si="1">G7*100/D7</f>
        <v>68.493883223966705</v>
      </c>
      <c r="K7" s="283">
        <f t="shared" ref="K7:K41" si="2">H7*100/E7</f>
        <v>64.105898892912194</v>
      </c>
    </row>
    <row r="8" spans="1:11" ht="14" customHeight="1" x14ac:dyDescent="0.15">
      <c r="A8" s="182">
        <v>3</v>
      </c>
      <c r="B8" s="185" t="s">
        <v>53</v>
      </c>
      <c r="C8" s="281">
        <v>227763.74</v>
      </c>
      <c r="D8" s="281">
        <v>117080.38</v>
      </c>
      <c r="E8" s="281">
        <v>416101.94</v>
      </c>
      <c r="F8" s="281">
        <v>111464.4</v>
      </c>
      <c r="G8" s="281">
        <v>45697.599999999999</v>
      </c>
      <c r="H8" s="281">
        <v>386233.1</v>
      </c>
      <c r="I8" s="283">
        <f t="shared" si="0"/>
        <v>48.938606294399627</v>
      </c>
      <c r="J8" s="283">
        <f t="shared" si="1"/>
        <v>39.030963172480305</v>
      </c>
      <c r="K8" s="283">
        <f t="shared" si="2"/>
        <v>92.821749401120314</v>
      </c>
    </row>
    <row r="9" spans="1:11" ht="14" customHeight="1" x14ac:dyDescent="0.15">
      <c r="A9" s="184">
        <v>4</v>
      </c>
      <c r="B9" s="185" t="s">
        <v>54</v>
      </c>
      <c r="C9" s="224">
        <v>106973</v>
      </c>
      <c r="D9" s="224">
        <v>1176697</v>
      </c>
      <c r="E9" s="224">
        <v>241268</v>
      </c>
      <c r="F9" s="224">
        <v>73182</v>
      </c>
      <c r="G9" s="224">
        <v>1243258</v>
      </c>
      <c r="H9" s="224">
        <v>235797</v>
      </c>
      <c r="I9" s="288">
        <f t="shared" si="0"/>
        <v>68.411655277499932</v>
      </c>
      <c r="J9" s="288">
        <f t="shared" si="1"/>
        <v>105.65659638802512</v>
      </c>
      <c r="K9" s="288">
        <f t="shared" si="2"/>
        <v>97.732397168294185</v>
      </c>
    </row>
    <row r="10" spans="1:11" ht="14" customHeight="1" x14ac:dyDescent="0.15">
      <c r="A10" s="182">
        <v>5</v>
      </c>
      <c r="B10" s="185" t="s">
        <v>55</v>
      </c>
      <c r="C10" s="281">
        <v>875673</v>
      </c>
      <c r="D10" s="281">
        <v>904899</v>
      </c>
      <c r="E10" s="281">
        <v>1684055</v>
      </c>
      <c r="F10" s="281">
        <v>413453</v>
      </c>
      <c r="G10" s="281">
        <v>453051</v>
      </c>
      <c r="H10" s="281">
        <v>574880</v>
      </c>
      <c r="I10" s="283">
        <f t="shared" si="0"/>
        <v>47.215455997843947</v>
      </c>
      <c r="J10" s="283">
        <f t="shared" si="1"/>
        <v>50.066471506764842</v>
      </c>
      <c r="K10" s="283">
        <f t="shared" si="2"/>
        <v>34.136652306486425</v>
      </c>
    </row>
    <row r="11" spans="1:11" ht="14" customHeight="1" x14ac:dyDescent="0.15">
      <c r="A11" s="184">
        <v>6</v>
      </c>
      <c r="B11" s="185" t="s">
        <v>56</v>
      </c>
      <c r="C11" s="281">
        <v>301199</v>
      </c>
      <c r="D11" s="281">
        <v>277075</v>
      </c>
      <c r="E11" s="281">
        <v>1081291</v>
      </c>
      <c r="F11" s="281">
        <v>145652</v>
      </c>
      <c r="G11" s="281">
        <v>97961</v>
      </c>
      <c r="H11" s="281">
        <v>847217</v>
      </c>
      <c r="I11" s="283">
        <f t="shared" si="0"/>
        <v>48.357398264934481</v>
      </c>
      <c r="J11" s="283">
        <f t="shared" si="1"/>
        <v>35.355409185238656</v>
      </c>
      <c r="K11" s="283">
        <f t="shared" si="2"/>
        <v>78.352358430801701</v>
      </c>
    </row>
    <row r="12" spans="1:11" ht="14" customHeight="1" x14ac:dyDescent="0.15">
      <c r="A12" s="182">
        <v>7</v>
      </c>
      <c r="B12" s="185" t="s">
        <v>57</v>
      </c>
      <c r="C12" s="281">
        <v>12114</v>
      </c>
      <c r="D12" s="281">
        <v>7804</v>
      </c>
      <c r="E12" s="281">
        <v>167786</v>
      </c>
      <c r="F12" s="281">
        <v>7639</v>
      </c>
      <c r="G12" s="281">
        <v>8438</v>
      </c>
      <c r="H12" s="281">
        <v>90942</v>
      </c>
      <c r="I12" s="283">
        <f t="shared" si="0"/>
        <v>63.059270265808159</v>
      </c>
      <c r="J12" s="283">
        <f t="shared" si="1"/>
        <v>108.12403895438237</v>
      </c>
      <c r="K12" s="283">
        <f t="shared" si="2"/>
        <v>54.201184842597115</v>
      </c>
    </row>
    <row r="13" spans="1:11" ht="14" customHeight="1" x14ac:dyDescent="0.15">
      <c r="A13" s="184">
        <v>8</v>
      </c>
      <c r="B13" s="185" t="s">
        <v>178</v>
      </c>
      <c r="C13" s="281">
        <v>16444</v>
      </c>
      <c r="D13" s="281">
        <v>14140</v>
      </c>
      <c r="E13" s="281">
        <v>147265</v>
      </c>
      <c r="F13" s="281">
        <v>7217</v>
      </c>
      <c r="G13" s="281">
        <v>8181</v>
      </c>
      <c r="H13" s="281">
        <v>79734</v>
      </c>
      <c r="I13" s="283">
        <f t="shared" si="0"/>
        <v>43.888348333738747</v>
      </c>
      <c r="J13" s="283">
        <f t="shared" si="1"/>
        <v>57.857142857142854</v>
      </c>
      <c r="K13" s="283">
        <f t="shared" si="2"/>
        <v>54.14321121787254</v>
      </c>
    </row>
    <row r="14" spans="1:11" ht="14" customHeight="1" x14ac:dyDescent="0.15">
      <c r="A14" s="182">
        <v>9</v>
      </c>
      <c r="B14" s="185" t="s">
        <v>58</v>
      </c>
      <c r="C14" s="281">
        <v>230585</v>
      </c>
      <c r="D14" s="281">
        <v>475844</v>
      </c>
      <c r="E14" s="281">
        <v>2691229</v>
      </c>
      <c r="F14" s="281">
        <v>203160</v>
      </c>
      <c r="G14" s="281">
        <v>269357</v>
      </c>
      <c r="H14" s="281">
        <v>2019386</v>
      </c>
      <c r="I14" s="283">
        <f t="shared" si="0"/>
        <v>88.106338226684301</v>
      </c>
      <c r="J14" s="283">
        <f t="shared" si="1"/>
        <v>56.606156639570955</v>
      </c>
      <c r="K14" s="283">
        <f t="shared" si="2"/>
        <v>75.03582935528712</v>
      </c>
    </row>
    <row r="15" spans="1:11" ht="14" customHeight="1" x14ac:dyDescent="0.15">
      <c r="A15" s="184">
        <v>10</v>
      </c>
      <c r="B15" s="185" t="s">
        <v>64</v>
      </c>
      <c r="C15" s="281">
        <v>1350752</v>
      </c>
      <c r="D15" s="281">
        <v>4204382</v>
      </c>
      <c r="E15" s="281">
        <v>9849693</v>
      </c>
      <c r="F15" s="281">
        <v>840562</v>
      </c>
      <c r="G15" s="281">
        <v>1945827</v>
      </c>
      <c r="H15" s="281">
        <v>4325808</v>
      </c>
      <c r="I15" s="283">
        <f t="shared" si="0"/>
        <v>62.229187889412714</v>
      </c>
      <c r="J15" s="283">
        <f t="shared" si="1"/>
        <v>46.280927850989755</v>
      </c>
      <c r="K15" s="283">
        <f t="shared" si="2"/>
        <v>43.91820130840626</v>
      </c>
    </row>
    <row r="16" spans="1:11" ht="14" customHeight="1" x14ac:dyDescent="0.15">
      <c r="A16" s="182">
        <v>11</v>
      </c>
      <c r="B16" s="185" t="s">
        <v>179</v>
      </c>
      <c r="C16" s="281">
        <v>89498</v>
      </c>
      <c r="D16" s="281">
        <v>111469</v>
      </c>
      <c r="E16" s="281">
        <v>647479</v>
      </c>
      <c r="F16" s="281">
        <v>73677</v>
      </c>
      <c r="G16" s="281">
        <v>72111</v>
      </c>
      <c r="H16" s="281">
        <v>448295</v>
      </c>
      <c r="I16" s="283">
        <f t="shared" si="0"/>
        <v>82.322510000223474</v>
      </c>
      <c r="J16" s="283">
        <f t="shared" si="1"/>
        <v>64.691528586423132</v>
      </c>
      <c r="K16" s="283">
        <f t="shared" si="2"/>
        <v>69.236994558896896</v>
      </c>
    </row>
    <row r="17" spans="1:11" ht="14" customHeight="1" x14ac:dyDescent="0.15">
      <c r="A17" s="184">
        <v>12</v>
      </c>
      <c r="B17" s="185" t="s">
        <v>60</v>
      </c>
      <c r="C17" s="281">
        <v>417835</v>
      </c>
      <c r="D17" s="281">
        <v>610849</v>
      </c>
      <c r="E17" s="281">
        <v>2354880</v>
      </c>
      <c r="F17" s="281">
        <v>223798</v>
      </c>
      <c r="G17" s="281">
        <v>293639</v>
      </c>
      <c r="H17" s="281">
        <v>1102495</v>
      </c>
      <c r="I17" s="283">
        <f t="shared" si="0"/>
        <v>53.561334019409578</v>
      </c>
      <c r="J17" s="283">
        <f t="shared" si="1"/>
        <v>48.070636114653539</v>
      </c>
      <c r="K17" s="283">
        <f t="shared" si="2"/>
        <v>46.817459913031662</v>
      </c>
    </row>
    <row r="18" spans="1:11" s="37" customFormat="1" ht="14" customHeight="1" x14ac:dyDescent="0.15">
      <c r="A18" s="186"/>
      <c r="B18" s="187" t="s">
        <v>215</v>
      </c>
      <c r="C18" s="282">
        <f>SUM(C6:C17)</f>
        <v>4316358.74</v>
      </c>
      <c r="D18" s="282">
        <f t="shared" ref="D18:H18" si="3">SUM(D6:D17)</f>
        <v>9104332.379999999</v>
      </c>
      <c r="E18" s="282">
        <f t="shared" si="3"/>
        <v>23015600.939999998</v>
      </c>
      <c r="F18" s="282">
        <f t="shared" si="3"/>
        <v>2828653.4</v>
      </c>
      <c r="G18" s="282">
        <f t="shared" si="3"/>
        <v>5328985.5999999996</v>
      </c>
      <c r="H18" s="282">
        <f t="shared" si="3"/>
        <v>12648786.1</v>
      </c>
      <c r="I18" s="284">
        <f t="shared" si="0"/>
        <v>65.53332497103797</v>
      </c>
      <c r="J18" s="284">
        <f t="shared" si="1"/>
        <v>58.532414872138048</v>
      </c>
      <c r="K18" s="284">
        <f t="shared" si="2"/>
        <v>54.957444443768679</v>
      </c>
    </row>
    <row r="19" spans="1:11" ht="14" customHeight="1" x14ac:dyDescent="0.15">
      <c r="A19" s="184">
        <v>13</v>
      </c>
      <c r="B19" s="185" t="s">
        <v>41</v>
      </c>
      <c r="C19" s="281">
        <v>33719.870000000003</v>
      </c>
      <c r="D19" s="281">
        <v>152671.92000000001</v>
      </c>
      <c r="E19" s="281">
        <v>1172131.6599999999</v>
      </c>
      <c r="F19" s="281">
        <v>32718.25</v>
      </c>
      <c r="G19" s="281">
        <v>96727.37</v>
      </c>
      <c r="H19" s="281">
        <v>1064527.26</v>
      </c>
      <c r="I19" s="283">
        <f t="shared" si="0"/>
        <v>97.029585226752047</v>
      </c>
      <c r="J19" s="283">
        <f t="shared" si="1"/>
        <v>63.356359178557518</v>
      </c>
      <c r="K19" s="283">
        <f t="shared" si="2"/>
        <v>90.819768489147378</v>
      </c>
    </row>
    <row r="20" spans="1:11" ht="14" customHeight="1" x14ac:dyDescent="0.15">
      <c r="A20" s="182">
        <v>14</v>
      </c>
      <c r="B20" s="185" t="s">
        <v>180</v>
      </c>
      <c r="C20" s="281">
        <v>5462.64</v>
      </c>
      <c r="D20" s="281">
        <v>20660.14</v>
      </c>
      <c r="E20" s="281">
        <v>104256.88</v>
      </c>
      <c r="F20" s="281">
        <v>20182.14</v>
      </c>
      <c r="G20" s="281">
        <v>229624.95999999999</v>
      </c>
      <c r="H20" s="281">
        <v>393070.11</v>
      </c>
      <c r="I20" s="283">
        <f t="shared" si="0"/>
        <v>369.45762488467113</v>
      </c>
      <c r="J20" s="283">
        <f t="shared" si="1"/>
        <v>1111.4395158987306</v>
      </c>
      <c r="K20" s="283">
        <f t="shared" si="2"/>
        <v>377.02078750102629</v>
      </c>
    </row>
    <row r="21" spans="1:11" ht="14" customHeight="1" x14ac:dyDescent="0.15">
      <c r="A21" s="184">
        <v>15</v>
      </c>
      <c r="B21" s="185" t="s">
        <v>181</v>
      </c>
      <c r="C21" s="281">
        <v>0</v>
      </c>
      <c r="D21" s="281">
        <v>0</v>
      </c>
      <c r="E21" s="281">
        <v>5177</v>
      </c>
      <c r="F21" s="281">
        <v>0</v>
      </c>
      <c r="G21" s="281">
        <v>0</v>
      </c>
      <c r="H21" s="281">
        <v>1879</v>
      </c>
      <c r="I21" s="283">
        <v>0</v>
      </c>
      <c r="J21" s="283">
        <v>0</v>
      </c>
      <c r="K21" s="283">
        <f t="shared" si="2"/>
        <v>36.295151632219429</v>
      </c>
    </row>
    <row r="22" spans="1:11" ht="14" customHeight="1" x14ac:dyDescent="0.15">
      <c r="A22" s="182">
        <v>16</v>
      </c>
      <c r="B22" s="185" t="s">
        <v>45</v>
      </c>
      <c r="C22" s="281">
        <v>0</v>
      </c>
      <c r="D22" s="281">
        <v>278.81</v>
      </c>
      <c r="E22" s="281">
        <v>5731.89</v>
      </c>
      <c r="F22" s="281">
        <v>0</v>
      </c>
      <c r="G22" s="281">
        <v>434.32</v>
      </c>
      <c r="H22" s="281">
        <v>11953.62</v>
      </c>
      <c r="I22" s="283">
        <v>0</v>
      </c>
      <c r="J22" s="283">
        <f t="shared" si="1"/>
        <v>155.77633513862486</v>
      </c>
      <c r="K22" s="283">
        <f t="shared" si="2"/>
        <v>208.54587230389976</v>
      </c>
    </row>
    <row r="23" spans="1:11" ht="14" customHeight="1" x14ac:dyDescent="0.15">
      <c r="A23" s="184">
        <v>17</v>
      </c>
      <c r="B23" s="185" t="s">
        <v>182</v>
      </c>
      <c r="C23" s="224">
        <v>8944</v>
      </c>
      <c r="D23" s="224">
        <v>16637</v>
      </c>
      <c r="E23" s="224">
        <f>17072-6952</f>
        <v>10120</v>
      </c>
      <c r="F23" s="224">
        <v>38816</v>
      </c>
      <c r="G23" s="224">
        <v>25092</v>
      </c>
      <c r="H23" s="224">
        <f>44276-573</f>
        <v>43703</v>
      </c>
      <c r="I23" s="288">
        <f t="shared" si="0"/>
        <v>433.98926654740609</v>
      </c>
      <c r="J23" s="288">
        <f t="shared" si="1"/>
        <v>150.82046041954681</v>
      </c>
      <c r="K23" s="288">
        <f t="shared" si="2"/>
        <v>431.8478260869565</v>
      </c>
    </row>
    <row r="24" spans="1:11" s="37" customFormat="1" ht="14" customHeight="1" x14ac:dyDescent="0.15">
      <c r="A24" s="184">
        <v>18</v>
      </c>
      <c r="B24" s="1" t="s">
        <v>183</v>
      </c>
      <c r="C24" s="281">
        <v>0</v>
      </c>
      <c r="D24" s="281">
        <v>0</v>
      </c>
      <c r="E24" s="281">
        <v>2635</v>
      </c>
      <c r="F24" s="281">
        <v>0</v>
      </c>
      <c r="G24" s="281">
        <v>0</v>
      </c>
      <c r="H24" s="281">
        <v>524</v>
      </c>
      <c r="I24" s="283">
        <v>0</v>
      </c>
      <c r="J24" s="283">
        <v>0</v>
      </c>
      <c r="K24" s="283">
        <f t="shared" si="2"/>
        <v>19.886148007590133</v>
      </c>
    </row>
    <row r="25" spans="1:11" ht="14" customHeight="1" x14ac:dyDescent="0.15">
      <c r="A25" s="182">
        <v>19</v>
      </c>
      <c r="B25" s="185" t="s">
        <v>184</v>
      </c>
      <c r="C25" s="281">
        <v>2120</v>
      </c>
      <c r="D25" s="281">
        <v>2572</v>
      </c>
      <c r="E25" s="281">
        <v>75053</v>
      </c>
      <c r="F25" s="281">
        <v>4590</v>
      </c>
      <c r="G25" s="281">
        <v>5103</v>
      </c>
      <c r="H25" s="281">
        <v>37181</v>
      </c>
      <c r="I25" s="283">
        <f t="shared" si="0"/>
        <v>216.50943396226415</v>
      </c>
      <c r="J25" s="283">
        <f t="shared" si="1"/>
        <v>198.40590979782272</v>
      </c>
      <c r="K25" s="283">
        <f t="shared" si="2"/>
        <v>49.539658641226865</v>
      </c>
    </row>
    <row r="26" spans="1:11" ht="14" customHeight="1" x14ac:dyDescent="0.15">
      <c r="A26" s="184">
        <v>20</v>
      </c>
      <c r="B26" s="185" t="s">
        <v>65</v>
      </c>
      <c r="C26" s="281">
        <v>11299.42</v>
      </c>
      <c r="D26" s="281">
        <v>254788.01</v>
      </c>
      <c r="E26" s="281">
        <v>1672219.62</v>
      </c>
      <c r="F26" s="281">
        <v>14310.58</v>
      </c>
      <c r="G26" s="281">
        <v>534016.67000000004</v>
      </c>
      <c r="H26" s="281">
        <v>1870179.98</v>
      </c>
      <c r="I26" s="283">
        <f t="shared" si="0"/>
        <v>126.64880144290592</v>
      </c>
      <c r="J26" s="283">
        <f t="shared" si="1"/>
        <v>209.59254322838819</v>
      </c>
      <c r="K26" s="283">
        <f t="shared" si="2"/>
        <v>111.83817948506069</v>
      </c>
    </row>
    <row r="27" spans="1:11" ht="14" customHeight="1" x14ac:dyDescent="0.15">
      <c r="A27" s="182">
        <v>21</v>
      </c>
      <c r="B27" s="185" t="s">
        <v>66</v>
      </c>
      <c r="C27" s="281">
        <v>10316</v>
      </c>
      <c r="D27" s="281">
        <v>611549</v>
      </c>
      <c r="E27" s="281">
        <v>983053</v>
      </c>
      <c r="F27" s="281">
        <v>22698</v>
      </c>
      <c r="G27" s="281">
        <v>1247895</v>
      </c>
      <c r="H27" s="281">
        <v>998318</v>
      </c>
      <c r="I27" s="283">
        <f t="shared" si="0"/>
        <v>220.02714230321831</v>
      </c>
      <c r="J27" s="283">
        <f t="shared" si="1"/>
        <v>204.0547854709925</v>
      </c>
      <c r="K27" s="283">
        <f t="shared" si="2"/>
        <v>101.55281556538661</v>
      </c>
    </row>
    <row r="28" spans="1:11" ht="14" customHeight="1" x14ac:dyDescent="0.15">
      <c r="A28" s="184">
        <v>22</v>
      </c>
      <c r="B28" s="185" t="s">
        <v>75</v>
      </c>
      <c r="C28" s="281">
        <v>14831</v>
      </c>
      <c r="D28" s="281">
        <v>90979</v>
      </c>
      <c r="E28" s="281">
        <v>642756</v>
      </c>
      <c r="F28" s="281">
        <v>19797</v>
      </c>
      <c r="G28" s="281">
        <v>55732</v>
      </c>
      <c r="H28" s="281">
        <v>206830</v>
      </c>
      <c r="I28" s="283">
        <f t="shared" si="0"/>
        <v>133.48391881869057</v>
      </c>
      <c r="J28" s="283">
        <f t="shared" si="1"/>
        <v>61.258092526846852</v>
      </c>
      <c r="K28" s="283">
        <f t="shared" si="2"/>
        <v>32.178618324838666</v>
      </c>
    </row>
    <row r="29" spans="1:11" ht="14" customHeight="1" x14ac:dyDescent="0.15">
      <c r="A29" s="182">
        <v>23</v>
      </c>
      <c r="B29" s="185" t="s">
        <v>379</v>
      </c>
      <c r="C29" s="281">
        <v>15801</v>
      </c>
      <c r="D29" s="281">
        <v>27367</v>
      </c>
      <c r="E29" s="281">
        <v>120865</v>
      </c>
      <c r="F29" s="281">
        <v>38603</v>
      </c>
      <c r="G29" s="281">
        <v>71159</v>
      </c>
      <c r="H29" s="281">
        <v>219648</v>
      </c>
      <c r="I29" s="283">
        <f t="shared" si="0"/>
        <v>244.30732232137206</v>
      </c>
      <c r="J29" s="283">
        <f t="shared" si="1"/>
        <v>260.01753937223663</v>
      </c>
      <c r="K29" s="283">
        <f t="shared" si="2"/>
        <v>181.73002937161294</v>
      </c>
    </row>
    <row r="30" spans="1:11" ht="14" customHeight="1" x14ac:dyDescent="0.15">
      <c r="A30" s="184">
        <v>24</v>
      </c>
      <c r="B30" s="185" t="s">
        <v>185</v>
      </c>
      <c r="C30" s="281">
        <v>10399</v>
      </c>
      <c r="D30" s="281">
        <v>21940</v>
      </c>
      <c r="E30" s="281">
        <v>361895</v>
      </c>
      <c r="F30" s="281">
        <v>117566</v>
      </c>
      <c r="G30" s="281">
        <v>86308</v>
      </c>
      <c r="H30" s="281">
        <v>390377</v>
      </c>
      <c r="I30" s="283">
        <f t="shared" si="0"/>
        <v>1130.5510145206269</v>
      </c>
      <c r="J30" s="283">
        <f t="shared" si="1"/>
        <v>393.38195077484045</v>
      </c>
      <c r="K30" s="283">
        <f t="shared" si="2"/>
        <v>107.87023860512026</v>
      </c>
    </row>
    <row r="31" spans="1:11" ht="14" customHeight="1" x14ac:dyDescent="0.15">
      <c r="A31" s="182">
        <v>25</v>
      </c>
      <c r="B31" s="185" t="s">
        <v>186</v>
      </c>
      <c r="C31" s="281">
        <v>0</v>
      </c>
      <c r="D31" s="281">
        <v>0</v>
      </c>
      <c r="E31" s="281">
        <v>5488</v>
      </c>
      <c r="F31" s="281">
        <v>0</v>
      </c>
      <c r="G31" s="281">
        <v>0</v>
      </c>
      <c r="H31" s="281">
        <v>3910</v>
      </c>
      <c r="I31" s="283">
        <v>0</v>
      </c>
      <c r="J31" s="283">
        <v>0</v>
      </c>
      <c r="K31" s="283">
        <f t="shared" si="2"/>
        <v>71.246355685131192</v>
      </c>
    </row>
    <row r="32" spans="1:11" ht="14" customHeight="1" x14ac:dyDescent="0.15">
      <c r="A32" s="184">
        <v>26</v>
      </c>
      <c r="B32" s="185" t="s">
        <v>187</v>
      </c>
      <c r="C32" s="281">
        <v>0</v>
      </c>
      <c r="D32" s="281">
        <v>0</v>
      </c>
      <c r="E32" s="281">
        <v>23822.18</v>
      </c>
      <c r="F32" s="281">
        <v>0</v>
      </c>
      <c r="G32" s="281">
        <v>0</v>
      </c>
      <c r="H32" s="281">
        <v>42037.8</v>
      </c>
      <c r="I32" s="283">
        <v>0</v>
      </c>
      <c r="J32" s="283">
        <v>0</v>
      </c>
      <c r="K32" s="283">
        <f t="shared" si="2"/>
        <v>176.46495828677308</v>
      </c>
    </row>
    <row r="33" spans="1:11" ht="14" customHeight="1" x14ac:dyDescent="0.15">
      <c r="A33" s="182">
        <v>27</v>
      </c>
      <c r="B33" s="185" t="s">
        <v>188</v>
      </c>
      <c r="C33" s="281">
        <v>0</v>
      </c>
      <c r="D33" s="281">
        <v>0</v>
      </c>
      <c r="E33" s="281">
        <v>20006.939999999999</v>
      </c>
      <c r="F33" s="281">
        <v>0</v>
      </c>
      <c r="G33" s="281">
        <v>0</v>
      </c>
      <c r="H33" s="281">
        <v>7968.28</v>
      </c>
      <c r="I33" s="283">
        <v>0</v>
      </c>
      <c r="J33" s="283">
        <v>0</v>
      </c>
      <c r="K33" s="283">
        <f t="shared" si="2"/>
        <v>39.827579829799063</v>
      </c>
    </row>
    <row r="34" spans="1:11" ht="14" customHeight="1" x14ac:dyDescent="0.15">
      <c r="A34" s="184">
        <v>28</v>
      </c>
      <c r="B34" s="185" t="s">
        <v>67</v>
      </c>
      <c r="C34" s="281">
        <v>11619.79</v>
      </c>
      <c r="D34" s="281">
        <v>23745.27</v>
      </c>
      <c r="E34" s="281">
        <v>294332.69</v>
      </c>
      <c r="F34" s="281">
        <v>36729.160000000003</v>
      </c>
      <c r="G34" s="281">
        <v>81585.94</v>
      </c>
      <c r="H34" s="281">
        <v>450136.02</v>
      </c>
      <c r="I34" s="283">
        <f t="shared" si="0"/>
        <v>316.09142678137903</v>
      </c>
      <c r="J34" s="283">
        <f t="shared" si="1"/>
        <v>343.58817566614317</v>
      </c>
      <c r="K34" s="283">
        <f t="shared" si="2"/>
        <v>152.93442940367922</v>
      </c>
    </row>
    <row r="35" spans="1:11" ht="14" customHeight="1" x14ac:dyDescent="0.15">
      <c r="A35" s="182">
        <v>29</v>
      </c>
      <c r="B35" s="1" t="s">
        <v>189</v>
      </c>
      <c r="C35" s="281">
        <v>0</v>
      </c>
      <c r="D35" s="281">
        <v>263</v>
      </c>
      <c r="E35" s="281">
        <v>6376</v>
      </c>
      <c r="F35" s="281">
        <v>0</v>
      </c>
      <c r="G35" s="281">
        <v>1093</v>
      </c>
      <c r="H35" s="281">
        <v>5033</v>
      </c>
      <c r="I35" s="283">
        <v>0</v>
      </c>
      <c r="J35" s="283">
        <f t="shared" si="1"/>
        <v>415.58935361216732</v>
      </c>
      <c r="K35" s="283">
        <f t="shared" si="2"/>
        <v>78.936637390213306</v>
      </c>
    </row>
    <row r="36" spans="1:11" ht="14" customHeight="1" x14ac:dyDescent="0.15">
      <c r="A36" s="184">
        <v>30</v>
      </c>
      <c r="B36" s="185" t="s">
        <v>190</v>
      </c>
      <c r="C36" s="281">
        <v>4111</v>
      </c>
      <c r="D36" s="281">
        <v>11164</v>
      </c>
      <c r="E36" s="281">
        <v>31571</v>
      </c>
      <c r="F36" s="281">
        <v>28613</v>
      </c>
      <c r="G36" s="281">
        <v>28726</v>
      </c>
      <c r="H36" s="281">
        <v>29583</v>
      </c>
      <c r="I36" s="283">
        <f t="shared" si="0"/>
        <v>696.01070299197272</v>
      </c>
      <c r="J36" s="283">
        <f t="shared" si="1"/>
        <v>257.30920816911504</v>
      </c>
      <c r="K36" s="283">
        <f t="shared" si="2"/>
        <v>93.703081942288804</v>
      </c>
    </row>
    <row r="37" spans="1:11" ht="14" customHeight="1" x14ac:dyDescent="0.15">
      <c r="A37" s="182">
        <v>31</v>
      </c>
      <c r="B37" s="185" t="s">
        <v>191</v>
      </c>
      <c r="C37" s="281">
        <v>0</v>
      </c>
      <c r="D37" s="281">
        <v>0</v>
      </c>
      <c r="E37" s="281">
        <v>47071</v>
      </c>
      <c r="F37" s="281">
        <v>0</v>
      </c>
      <c r="G37" s="281">
        <v>0</v>
      </c>
      <c r="H37" s="281">
        <v>9715</v>
      </c>
      <c r="I37" s="283">
        <v>0</v>
      </c>
      <c r="J37" s="283">
        <v>0</v>
      </c>
      <c r="K37" s="283">
        <f t="shared" si="2"/>
        <v>20.639034649784367</v>
      </c>
    </row>
    <row r="38" spans="1:11" ht="14" customHeight="1" x14ac:dyDescent="0.15">
      <c r="A38" s="184">
        <v>32</v>
      </c>
      <c r="B38" s="185" t="s">
        <v>71</v>
      </c>
      <c r="C38" s="224">
        <v>0</v>
      </c>
      <c r="D38" s="224">
        <v>0</v>
      </c>
      <c r="E38" s="224">
        <v>23646.919160000001</v>
      </c>
      <c r="F38" s="224">
        <v>0</v>
      </c>
      <c r="G38" s="224">
        <v>0</v>
      </c>
      <c r="H38" s="224">
        <v>26216.322560000001</v>
      </c>
      <c r="I38" s="288">
        <v>0</v>
      </c>
      <c r="J38" s="288">
        <v>0</v>
      </c>
      <c r="K38" s="288">
        <f t="shared" si="2"/>
        <v>110.86570044332151</v>
      </c>
    </row>
    <row r="39" spans="1:11" ht="14" customHeight="1" x14ac:dyDescent="0.15">
      <c r="A39" s="182">
        <v>33</v>
      </c>
      <c r="B39" s="185" t="s">
        <v>192</v>
      </c>
      <c r="C39" s="281">
        <v>0</v>
      </c>
      <c r="D39" s="281">
        <v>1577</v>
      </c>
      <c r="E39" s="281">
        <v>1173</v>
      </c>
      <c r="F39" s="281">
        <v>5430</v>
      </c>
      <c r="G39" s="281">
        <v>1250</v>
      </c>
      <c r="H39" s="281">
        <v>0</v>
      </c>
      <c r="I39" s="283">
        <v>0</v>
      </c>
      <c r="J39" s="283">
        <f t="shared" si="1"/>
        <v>79.264426125554849</v>
      </c>
      <c r="K39" s="283">
        <f t="shared" si="2"/>
        <v>0</v>
      </c>
    </row>
    <row r="40" spans="1:11" ht="14" customHeight="1" x14ac:dyDescent="0.15">
      <c r="A40" s="184">
        <v>34</v>
      </c>
      <c r="B40" s="185" t="s">
        <v>70</v>
      </c>
      <c r="C40" s="281">
        <v>4579</v>
      </c>
      <c r="D40" s="281">
        <v>13665</v>
      </c>
      <c r="E40" s="281">
        <v>168219</v>
      </c>
      <c r="F40" s="281">
        <v>9835</v>
      </c>
      <c r="G40" s="281">
        <v>27657</v>
      </c>
      <c r="H40" s="281">
        <v>179911</v>
      </c>
      <c r="I40" s="283">
        <f t="shared" si="0"/>
        <v>214.78488753002839</v>
      </c>
      <c r="J40" s="283">
        <f t="shared" si="1"/>
        <v>202.39297475301865</v>
      </c>
      <c r="K40" s="283">
        <f t="shared" si="2"/>
        <v>106.95046338404104</v>
      </c>
    </row>
    <row r="41" spans="1:11" s="37" customFormat="1" ht="12.75" customHeight="1" x14ac:dyDescent="0.15">
      <c r="A41" s="186"/>
      <c r="B41" s="187" t="s">
        <v>212</v>
      </c>
      <c r="C41" s="282">
        <f t="shared" ref="C41:H41" si="4">SUM(C19:C40)</f>
        <v>133202.72</v>
      </c>
      <c r="D41" s="282">
        <f t="shared" si="4"/>
        <v>1249857.1499999999</v>
      </c>
      <c r="E41" s="282">
        <f t="shared" si="4"/>
        <v>5777600.7791600004</v>
      </c>
      <c r="F41" s="282">
        <f t="shared" si="4"/>
        <v>389888.13</v>
      </c>
      <c r="G41" s="282">
        <f t="shared" si="4"/>
        <v>2492404.2600000002</v>
      </c>
      <c r="H41" s="282">
        <f t="shared" si="4"/>
        <v>5992701.3925600005</v>
      </c>
      <c r="I41" s="284">
        <f t="shared" si="0"/>
        <v>292.70282919147598</v>
      </c>
      <c r="J41" s="284">
        <f t="shared" si="1"/>
        <v>199.41512996105197</v>
      </c>
      <c r="K41" s="284">
        <f t="shared" si="2"/>
        <v>103.72300928398991</v>
      </c>
    </row>
    <row r="42" spans="1:11" s="37" customFormat="1" ht="14" customHeight="1" x14ac:dyDescent="0.15">
      <c r="A42" s="186"/>
      <c r="B42" s="188" t="s">
        <v>311</v>
      </c>
      <c r="C42" s="282">
        <f t="shared" ref="C42:H42" si="5">C41+C18</f>
        <v>4449561.46</v>
      </c>
      <c r="D42" s="282">
        <f t="shared" si="5"/>
        <v>10354189.529999999</v>
      </c>
      <c r="E42" s="282">
        <f t="shared" si="5"/>
        <v>28793201.719159998</v>
      </c>
      <c r="F42" s="282">
        <f t="shared" si="5"/>
        <v>3218541.53</v>
      </c>
      <c r="G42" s="282">
        <f t="shared" si="5"/>
        <v>7821389.8599999994</v>
      </c>
      <c r="H42" s="282">
        <f t="shared" si="5"/>
        <v>18641487.492559999</v>
      </c>
      <c r="I42" s="284">
        <f>F42*100/C42</f>
        <v>72.333904339417757</v>
      </c>
      <c r="J42" s="284">
        <f>G42*100/D42</f>
        <v>75.538407302073026</v>
      </c>
      <c r="K42" s="284">
        <f>H42*100/E42</f>
        <v>64.742669725941965</v>
      </c>
    </row>
    <row r="43" spans="1:11" ht="14" customHeight="1" x14ac:dyDescent="0.15">
      <c r="A43" s="182">
        <v>35</v>
      </c>
      <c r="B43" s="185" t="s">
        <v>193</v>
      </c>
      <c r="C43" s="281">
        <v>484935</v>
      </c>
      <c r="D43" s="281">
        <v>246425</v>
      </c>
      <c r="E43" s="281">
        <v>184917</v>
      </c>
      <c r="F43" s="281">
        <v>181203</v>
      </c>
      <c r="G43" s="281">
        <v>70363</v>
      </c>
      <c r="H43" s="281">
        <v>26087</v>
      </c>
      <c r="I43" s="283">
        <f t="shared" ref="I43:I59" si="6">F43*100/C43</f>
        <v>37.366451173868661</v>
      </c>
      <c r="J43" s="283">
        <f t="shared" ref="J43:J59" si="7">G43*100/D43</f>
        <v>28.553515268337222</v>
      </c>
      <c r="K43" s="283">
        <f t="shared" ref="K43:K59" si="8">H43*100/E43</f>
        <v>14.107410351671291</v>
      </c>
    </row>
    <row r="44" spans="1:11" ht="14" customHeight="1" x14ac:dyDescent="0.15">
      <c r="A44" s="184">
        <v>36</v>
      </c>
      <c r="B44" s="185" t="s">
        <v>382</v>
      </c>
      <c r="C44" s="281">
        <v>720319.56</v>
      </c>
      <c r="D44" s="281">
        <v>576545.66</v>
      </c>
      <c r="E44" s="281">
        <v>338127.41</v>
      </c>
      <c r="F44" s="281">
        <v>600153.56999999995</v>
      </c>
      <c r="G44" s="281">
        <v>350704.09</v>
      </c>
      <c r="H44" s="281">
        <v>139386.65</v>
      </c>
      <c r="I44" s="283">
        <f t="shared" si="6"/>
        <v>83.317683334879845</v>
      </c>
      <c r="J44" s="283">
        <f t="shared" si="7"/>
        <v>60.828502290694544</v>
      </c>
      <c r="K44" s="283">
        <f t="shared" si="8"/>
        <v>41.223114683308289</v>
      </c>
    </row>
    <row r="45" spans="1:11" s="37" customFormat="1" ht="14" customHeight="1" x14ac:dyDescent="0.15">
      <c r="A45" s="186"/>
      <c r="B45" s="187" t="s">
        <v>216</v>
      </c>
      <c r="C45" s="282">
        <f>SUM(C43:C44)</f>
        <v>1205254.56</v>
      </c>
      <c r="D45" s="282">
        <f t="shared" ref="D45:H45" si="9">SUM(D43:D44)</f>
        <v>822970.66</v>
      </c>
      <c r="E45" s="282">
        <f t="shared" si="9"/>
        <v>523044.41</v>
      </c>
      <c r="F45" s="282">
        <f t="shared" si="9"/>
        <v>781356.57</v>
      </c>
      <c r="G45" s="282">
        <f t="shared" si="9"/>
        <v>421067.09</v>
      </c>
      <c r="H45" s="282">
        <f t="shared" si="9"/>
        <v>165473.65</v>
      </c>
      <c r="I45" s="284">
        <f t="shared" si="6"/>
        <v>64.829173515012457</v>
      </c>
      <c r="J45" s="284">
        <f t="shared" si="7"/>
        <v>51.164289380620204</v>
      </c>
      <c r="K45" s="284">
        <f t="shared" si="8"/>
        <v>31.636634831830055</v>
      </c>
    </row>
    <row r="46" spans="1:11" ht="14" customHeight="1" x14ac:dyDescent="0.15">
      <c r="A46" s="184">
        <v>37</v>
      </c>
      <c r="B46" s="185" t="s">
        <v>312</v>
      </c>
      <c r="C46" s="281">
        <v>1537494</v>
      </c>
      <c r="D46" s="281">
        <v>1024996</v>
      </c>
      <c r="E46" s="281">
        <v>640623</v>
      </c>
      <c r="F46" s="281">
        <v>2013346</v>
      </c>
      <c r="G46" s="281">
        <v>1042626</v>
      </c>
      <c r="H46" s="281">
        <v>539289</v>
      </c>
      <c r="I46" s="283">
        <f t="shared" si="6"/>
        <v>130.94984435711618</v>
      </c>
      <c r="J46" s="283">
        <f t="shared" si="7"/>
        <v>101.72000671222132</v>
      </c>
      <c r="K46" s="283">
        <f t="shared" si="8"/>
        <v>84.181960372949462</v>
      </c>
    </row>
    <row r="47" spans="1:11" s="37" customFormat="1" ht="14" customHeight="1" x14ac:dyDescent="0.15">
      <c r="A47" s="189"/>
      <c r="B47" s="187" t="s">
        <v>214</v>
      </c>
      <c r="C47" s="282">
        <f>C46</f>
        <v>1537494</v>
      </c>
      <c r="D47" s="282">
        <f t="shared" ref="D47:H47" si="10">D46</f>
        <v>1024996</v>
      </c>
      <c r="E47" s="282">
        <f t="shared" si="10"/>
        <v>640623</v>
      </c>
      <c r="F47" s="282">
        <f t="shared" si="10"/>
        <v>2013346</v>
      </c>
      <c r="G47" s="282">
        <f t="shared" si="10"/>
        <v>1042626</v>
      </c>
      <c r="H47" s="282">
        <f t="shared" si="10"/>
        <v>539289</v>
      </c>
      <c r="I47" s="284">
        <f t="shared" si="6"/>
        <v>130.94984435711618</v>
      </c>
      <c r="J47" s="284">
        <f t="shared" si="7"/>
        <v>101.72000671222132</v>
      </c>
      <c r="K47" s="284">
        <f t="shared" si="8"/>
        <v>84.181960372949462</v>
      </c>
    </row>
    <row r="48" spans="1:11" s="37" customFormat="1" ht="14" customHeight="1" x14ac:dyDescent="0.15">
      <c r="A48" s="184">
        <v>38</v>
      </c>
      <c r="B48" s="1" t="s">
        <v>304</v>
      </c>
      <c r="C48" s="281">
        <v>163.44999999999999</v>
      </c>
      <c r="D48" s="281">
        <v>30597.11</v>
      </c>
      <c r="E48" s="281">
        <v>116113.3</v>
      </c>
      <c r="F48" s="281">
        <v>1386.61</v>
      </c>
      <c r="G48" s="281">
        <v>159469.43</v>
      </c>
      <c r="H48" s="281">
        <v>418310.76</v>
      </c>
      <c r="I48" s="283">
        <f t="shared" si="6"/>
        <v>848.33894157234636</v>
      </c>
      <c r="J48" s="283">
        <f t="shared" si="7"/>
        <v>521.19115171334806</v>
      </c>
      <c r="K48" s="283">
        <f t="shared" si="8"/>
        <v>360.26084867108244</v>
      </c>
    </row>
    <row r="49" spans="1:11" ht="14" customHeight="1" x14ac:dyDescent="0.15">
      <c r="A49" s="184">
        <v>39</v>
      </c>
      <c r="B49" s="185" t="s">
        <v>305</v>
      </c>
      <c r="C49" s="224">
        <v>4700</v>
      </c>
      <c r="D49" s="224">
        <v>6338</v>
      </c>
      <c r="E49" s="224">
        <v>55778</v>
      </c>
      <c r="F49" s="224">
        <v>108</v>
      </c>
      <c r="G49" s="224">
        <v>8619</v>
      </c>
      <c r="H49" s="224">
        <v>48518</v>
      </c>
      <c r="I49" s="288">
        <f t="shared" si="6"/>
        <v>2.2978723404255321</v>
      </c>
      <c r="J49" s="288">
        <f t="shared" si="7"/>
        <v>135.98927106342694</v>
      </c>
      <c r="K49" s="288">
        <f t="shared" si="8"/>
        <v>86.98411560113307</v>
      </c>
    </row>
    <row r="50" spans="1:11" ht="14" customHeight="1" x14ac:dyDescent="0.15">
      <c r="A50" s="182">
        <v>40</v>
      </c>
      <c r="B50" s="185" t="s">
        <v>383</v>
      </c>
      <c r="C50" s="281">
        <v>60.29</v>
      </c>
      <c r="D50" s="281">
        <v>2142.2800000000002</v>
      </c>
      <c r="E50" s="281">
        <v>2875.51</v>
      </c>
      <c r="F50" s="281">
        <v>1181.23</v>
      </c>
      <c r="G50" s="281">
        <v>22677.439999999999</v>
      </c>
      <c r="H50" s="281">
        <v>18161.419999999998</v>
      </c>
      <c r="I50" s="283">
        <f t="shared" si="6"/>
        <v>1959.2469729640072</v>
      </c>
      <c r="J50" s="283">
        <f t="shared" si="7"/>
        <v>1058.5656403457997</v>
      </c>
      <c r="K50" s="283">
        <f t="shared" si="8"/>
        <v>631.5895267274326</v>
      </c>
    </row>
    <row r="51" spans="1:11" s="37" customFormat="1" ht="14" customHeight="1" x14ac:dyDescent="0.15">
      <c r="A51" s="184">
        <v>41</v>
      </c>
      <c r="B51" s="1" t="s">
        <v>306</v>
      </c>
      <c r="C51" s="281">
        <v>145.02000000000001</v>
      </c>
      <c r="D51" s="281">
        <v>1526.07</v>
      </c>
      <c r="E51" s="281">
        <v>9954.92</v>
      </c>
      <c r="F51" s="281">
        <v>3926.9</v>
      </c>
      <c r="G51" s="281">
        <v>31025.4</v>
      </c>
      <c r="H51" s="281">
        <v>20538.080000000002</v>
      </c>
      <c r="I51" s="283">
        <f t="shared" si="6"/>
        <v>2707.8334022893391</v>
      </c>
      <c r="J51" s="283">
        <f t="shared" si="7"/>
        <v>2033.0260079812854</v>
      </c>
      <c r="K51" s="283">
        <f t="shared" si="8"/>
        <v>206.31084930868357</v>
      </c>
    </row>
    <row r="52" spans="1:11" ht="14" customHeight="1" x14ac:dyDescent="0.15">
      <c r="A52" s="184">
        <v>42</v>
      </c>
      <c r="B52" s="1" t="s">
        <v>307</v>
      </c>
      <c r="C52" s="224">
        <v>171</v>
      </c>
      <c r="D52" s="224">
        <v>2473</v>
      </c>
      <c r="E52" s="224">
        <v>34679</v>
      </c>
      <c r="F52" s="224">
        <v>4838</v>
      </c>
      <c r="G52" s="224">
        <v>8209</v>
      </c>
      <c r="H52" s="224">
        <v>77982</v>
      </c>
      <c r="I52" s="288">
        <f t="shared" si="6"/>
        <v>2829.2397660818715</v>
      </c>
      <c r="J52" s="288">
        <f t="shared" si="7"/>
        <v>331.94500606550747</v>
      </c>
      <c r="K52" s="288">
        <f t="shared" si="8"/>
        <v>224.86807578073186</v>
      </c>
    </row>
    <row r="53" spans="1:11" s="37" customFormat="1" ht="14" customHeight="1" x14ac:dyDescent="0.15">
      <c r="A53" s="182">
        <v>43</v>
      </c>
      <c r="B53" s="1" t="s">
        <v>308</v>
      </c>
      <c r="C53" s="281">
        <v>69.989999999999995</v>
      </c>
      <c r="D53" s="281">
        <v>63.02</v>
      </c>
      <c r="E53" s="281">
        <v>5606.4</v>
      </c>
      <c r="F53" s="281">
        <v>3141.42</v>
      </c>
      <c r="G53" s="281">
        <v>4782.54</v>
      </c>
      <c r="H53" s="281">
        <v>17941.87</v>
      </c>
      <c r="I53" s="283">
        <f t="shared" si="6"/>
        <v>4488.3840548649814</v>
      </c>
      <c r="J53" s="283">
        <f t="shared" si="7"/>
        <v>7588.9241510631546</v>
      </c>
      <c r="K53" s="283">
        <f t="shared" si="8"/>
        <v>320.02479309360734</v>
      </c>
    </row>
    <row r="54" spans="1:11" s="37" customFormat="1" ht="14" customHeight="1" x14ac:dyDescent="0.15">
      <c r="A54" s="184">
        <v>44</v>
      </c>
      <c r="B54" s="1" t="s">
        <v>300</v>
      </c>
      <c r="C54" s="281">
        <v>281.74</v>
      </c>
      <c r="D54" s="281">
        <v>1806.37</v>
      </c>
      <c r="E54" s="281">
        <v>5069.91</v>
      </c>
      <c r="F54" s="281">
        <v>549.46</v>
      </c>
      <c r="G54" s="281">
        <v>4517</v>
      </c>
      <c r="H54" s="281">
        <v>15464.1</v>
      </c>
      <c r="I54" s="283">
        <f t="shared" si="6"/>
        <v>195.02378079080003</v>
      </c>
      <c r="J54" s="283">
        <f t="shared" si="7"/>
        <v>250.05951161722129</v>
      </c>
      <c r="K54" s="283">
        <f t="shared" si="8"/>
        <v>305.01724882690229</v>
      </c>
    </row>
    <row r="55" spans="1:11" ht="14" customHeight="1" x14ac:dyDescent="0.15">
      <c r="A55" s="184">
        <v>45</v>
      </c>
      <c r="B55" s="1" t="s">
        <v>309</v>
      </c>
      <c r="C55" s="281">
        <v>356</v>
      </c>
      <c r="D55" s="281">
        <v>51</v>
      </c>
      <c r="E55" s="281">
        <v>26570</v>
      </c>
      <c r="F55" s="281">
        <v>11407</v>
      </c>
      <c r="G55" s="281">
        <v>1953</v>
      </c>
      <c r="H55" s="281">
        <v>17479</v>
      </c>
      <c r="I55" s="283">
        <f t="shared" si="6"/>
        <v>3204.2134831460676</v>
      </c>
      <c r="J55" s="283">
        <f t="shared" si="7"/>
        <v>3829.4117647058824</v>
      </c>
      <c r="K55" s="283">
        <f t="shared" si="8"/>
        <v>65.784719608581113</v>
      </c>
    </row>
    <row r="56" spans="1:11" s="37" customFormat="1" ht="14" customHeight="1" x14ac:dyDescent="0.15">
      <c r="A56" s="189"/>
      <c r="B56" s="138" t="s">
        <v>310</v>
      </c>
      <c r="C56" s="282">
        <f>SUM(C48:C55)</f>
        <v>5947.49</v>
      </c>
      <c r="D56" s="282">
        <f t="shared" ref="D56:H56" si="11">SUM(D48:D55)</f>
        <v>44996.85</v>
      </c>
      <c r="E56" s="282">
        <f t="shared" si="11"/>
        <v>256647.04000000001</v>
      </c>
      <c r="F56" s="282">
        <f t="shared" si="11"/>
        <v>26538.62</v>
      </c>
      <c r="G56" s="282">
        <f t="shared" si="11"/>
        <v>241252.81</v>
      </c>
      <c r="H56" s="282">
        <f t="shared" si="11"/>
        <v>634395.23</v>
      </c>
      <c r="I56" s="284">
        <f t="shared" si="6"/>
        <v>446.21546232108</v>
      </c>
      <c r="J56" s="284">
        <f t="shared" si="7"/>
        <v>536.15488639760338</v>
      </c>
      <c r="K56" s="284">
        <f t="shared" si="8"/>
        <v>247.18587442115054</v>
      </c>
    </row>
    <row r="57" spans="1:11" ht="14" customHeight="1" x14ac:dyDescent="0.15">
      <c r="A57" s="184">
        <v>46</v>
      </c>
      <c r="B57" s="1" t="s">
        <v>385</v>
      </c>
      <c r="C57" s="281">
        <v>0</v>
      </c>
      <c r="D57" s="281">
        <v>0</v>
      </c>
      <c r="E57" s="281">
        <v>13350.8</v>
      </c>
      <c r="F57" s="281">
        <v>0</v>
      </c>
      <c r="G57" s="281">
        <v>0</v>
      </c>
      <c r="H57" s="281">
        <v>0</v>
      </c>
      <c r="I57" s="283">
        <v>0</v>
      </c>
      <c r="J57" s="283">
        <v>0</v>
      </c>
      <c r="K57" s="283">
        <f t="shared" si="8"/>
        <v>0</v>
      </c>
    </row>
    <row r="58" spans="1:11" s="37" customFormat="1" ht="14" customHeight="1" x14ac:dyDescent="0.15">
      <c r="A58" s="189"/>
      <c r="B58" s="138" t="s">
        <v>386</v>
      </c>
      <c r="C58" s="282">
        <f>C57</f>
        <v>0</v>
      </c>
      <c r="D58" s="282">
        <f t="shared" ref="D58:H58" si="12">D57</f>
        <v>0</v>
      </c>
      <c r="E58" s="282">
        <f t="shared" si="12"/>
        <v>13350.8</v>
      </c>
      <c r="F58" s="282">
        <f t="shared" si="12"/>
        <v>0</v>
      </c>
      <c r="G58" s="282">
        <f t="shared" si="12"/>
        <v>0</v>
      </c>
      <c r="H58" s="282">
        <f t="shared" si="12"/>
        <v>0</v>
      </c>
      <c r="I58" s="283">
        <v>0</v>
      </c>
      <c r="J58" s="283">
        <v>0</v>
      </c>
      <c r="K58" s="283">
        <f t="shared" si="8"/>
        <v>0</v>
      </c>
    </row>
    <row r="59" spans="1:11" s="37" customFormat="1" ht="14" customHeight="1" x14ac:dyDescent="0.15">
      <c r="A59" s="189"/>
      <c r="B59" s="138" t="s">
        <v>0</v>
      </c>
      <c r="C59" s="282">
        <f>C58+C56+C47+C45+C42</f>
        <v>7198257.5099999998</v>
      </c>
      <c r="D59" s="282">
        <f t="shared" ref="D59:H59" si="13">D58+D56+D47+D45+D42</f>
        <v>12247153.039999999</v>
      </c>
      <c r="E59" s="282">
        <f t="shared" si="13"/>
        <v>30226866.969159998</v>
      </c>
      <c r="F59" s="282">
        <f t="shared" si="13"/>
        <v>6039782.7199999997</v>
      </c>
      <c r="G59" s="282">
        <f t="shared" si="13"/>
        <v>9526335.7599999998</v>
      </c>
      <c r="H59" s="282">
        <f t="shared" si="13"/>
        <v>19980645.372559998</v>
      </c>
      <c r="I59" s="284">
        <f t="shared" si="6"/>
        <v>83.90617745488241</v>
      </c>
      <c r="J59" s="284">
        <f t="shared" si="7"/>
        <v>77.784083606094967</v>
      </c>
      <c r="K59" s="284">
        <f t="shared" si="8"/>
        <v>66.102270516312331</v>
      </c>
    </row>
    <row r="60" spans="1:11" ht="14" customHeight="1" x14ac:dyDescent="0.2">
      <c r="D60" s="266"/>
      <c r="E60" s="266" t="s">
        <v>1069</v>
      </c>
    </row>
    <row r="61" spans="1:11" x14ac:dyDescent="0.2">
      <c r="C61" s="173"/>
      <c r="D61" s="173"/>
      <c r="E61" s="173"/>
      <c r="F61" s="173"/>
      <c r="G61" s="173"/>
      <c r="H61" s="173"/>
    </row>
    <row r="62" spans="1:11" x14ac:dyDescent="0.2">
      <c r="C62" s="173"/>
      <c r="D62" s="173"/>
      <c r="E62" s="173"/>
      <c r="F62" s="173"/>
      <c r="G62" s="173"/>
      <c r="H62" s="173"/>
    </row>
  </sheetData>
  <sheetProtection formatCells="0" formatColumns="0" formatRows="0" insertColumns="0" insertRows="0" insertHyperlinks="0" deleteColumns="0" deleteRows="0" selectLockedCells="1" sort="0" autoFilter="0" pivotTables="0"/>
  <autoFilter ref="F5:H54" xr:uid="{00000000-0009-0000-0000-000001000000}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honeticPr fontId="10" type="noConversion"/>
  <pageMargins left="0.75" right="0.25" top="0.25" bottom="0.25" header="0.3" footer="0.3"/>
  <pageSetup scale="80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1">
    <tabColor rgb="FF7030A0"/>
  </sheetPr>
  <dimension ref="A1:H58"/>
  <sheetViews>
    <sheetView zoomScaleNormal="100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58" sqref="D58"/>
    </sheetView>
  </sheetViews>
  <sheetFormatPr baseColWidth="10" defaultColWidth="9.19921875" defaultRowHeight="16" x14ac:dyDescent="0.2"/>
  <cols>
    <col min="1" max="1" width="5.796875" style="341" bestFit="1" customWidth="1"/>
    <col min="2" max="2" width="25.19921875" style="334" customWidth="1"/>
    <col min="3" max="3" width="15.19921875" style="336" customWidth="1"/>
    <col min="4" max="4" width="10.796875" style="336" customWidth="1"/>
    <col min="5" max="5" width="14.59765625" style="336" customWidth="1"/>
    <col min="6" max="6" width="17.19921875" style="336" customWidth="1"/>
    <col min="7" max="7" width="13.19921875" style="342" bestFit="1" customWidth="1"/>
    <col min="8" max="8" width="9.19921875" style="342"/>
    <col min="9" max="16384" width="9.19921875" style="334"/>
  </cols>
  <sheetData>
    <row r="1" spans="1:6" x14ac:dyDescent="0.2">
      <c r="A1" s="463" t="s">
        <v>1037</v>
      </c>
      <c r="B1" s="463"/>
      <c r="C1" s="463"/>
      <c r="D1" s="463"/>
      <c r="E1" s="463"/>
      <c r="F1" s="463"/>
    </row>
    <row r="2" spans="1:6" x14ac:dyDescent="0.2">
      <c r="A2" s="464"/>
      <c r="B2" s="464"/>
      <c r="C2" s="464"/>
      <c r="D2" s="464"/>
      <c r="E2" s="464"/>
      <c r="F2" s="464"/>
    </row>
    <row r="3" spans="1:6" ht="14.25" customHeight="1" x14ac:dyDescent="0.2">
      <c r="A3" s="87"/>
      <c r="B3" s="335" t="s">
        <v>11</v>
      </c>
      <c r="F3" s="337" t="s">
        <v>160</v>
      </c>
    </row>
    <row r="4" spans="1:6" ht="45" customHeight="1" x14ac:dyDescent="0.2">
      <c r="A4" s="448" t="s">
        <v>194</v>
      </c>
      <c r="B4" s="448" t="s">
        <v>2</v>
      </c>
      <c r="C4" s="448" t="s">
        <v>1035</v>
      </c>
      <c r="D4" s="448" t="s">
        <v>15</v>
      </c>
      <c r="E4" s="448" t="s">
        <v>1036</v>
      </c>
      <c r="F4" s="448" t="s">
        <v>449</v>
      </c>
    </row>
    <row r="5" spans="1:6" ht="45" customHeight="1" x14ac:dyDescent="0.2">
      <c r="A5" s="448"/>
      <c r="B5" s="448"/>
      <c r="C5" s="448"/>
      <c r="D5" s="448"/>
      <c r="E5" s="448"/>
      <c r="F5" s="448"/>
    </row>
    <row r="6" spans="1:6" ht="14" customHeight="1" x14ac:dyDescent="0.2">
      <c r="A6" s="210">
        <v>1</v>
      </c>
      <c r="B6" s="142" t="s">
        <v>51</v>
      </c>
      <c r="C6" s="204">
        <v>9911</v>
      </c>
      <c r="D6" s="204">
        <v>9421</v>
      </c>
      <c r="E6" s="214">
        <f>OutstandingAgri_4!E6</f>
        <v>70251</v>
      </c>
      <c r="F6" s="214">
        <f>OutstandingAgri_4!F6</f>
        <v>158443</v>
      </c>
    </row>
    <row r="7" spans="1:6" ht="14" customHeight="1" x14ac:dyDescent="0.2">
      <c r="A7" s="210">
        <v>2</v>
      </c>
      <c r="B7" s="142" t="s">
        <v>52</v>
      </c>
      <c r="C7" s="204">
        <v>143414</v>
      </c>
      <c r="D7" s="204">
        <v>239509.43</v>
      </c>
      <c r="E7" s="214">
        <f>OutstandingAgri_4!E7</f>
        <v>375421</v>
      </c>
      <c r="F7" s="214">
        <f>OutstandingAgri_4!F7</f>
        <v>792345.3</v>
      </c>
    </row>
    <row r="8" spans="1:6" ht="14" customHeight="1" x14ac:dyDescent="0.2">
      <c r="A8" s="210">
        <v>3</v>
      </c>
      <c r="B8" s="142" t="s">
        <v>53</v>
      </c>
      <c r="C8" s="204">
        <v>3851</v>
      </c>
      <c r="D8" s="204">
        <v>8583.86</v>
      </c>
      <c r="E8" s="214">
        <f>OutstandingAgri_4!E8</f>
        <v>37342</v>
      </c>
      <c r="F8" s="214">
        <f>OutstandingAgri_4!F8</f>
        <v>67930.789999999994</v>
      </c>
    </row>
    <row r="9" spans="1:6" ht="14" customHeight="1" x14ac:dyDescent="0.2">
      <c r="A9" s="210">
        <v>4</v>
      </c>
      <c r="B9" s="142" t="s">
        <v>54</v>
      </c>
      <c r="C9" s="204">
        <v>22230</v>
      </c>
      <c r="D9" s="204">
        <v>49034</v>
      </c>
      <c r="E9" s="214">
        <f>OutstandingAgri_4!E9</f>
        <v>81327</v>
      </c>
      <c r="F9" s="214">
        <f>OutstandingAgri_4!F9</f>
        <v>133861.6</v>
      </c>
    </row>
    <row r="10" spans="1:6" ht="14" customHeight="1" x14ac:dyDescent="0.2">
      <c r="A10" s="210">
        <v>5</v>
      </c>
      <c r="B10" s="142" t="s">
        <v>55</v>
      </c>
      <c r="C10" s="204">
        <v>48580</v>
      </c>
      <c r="D10" s="204">
        <v>71542</v>
      </c>
      <c r="E10" s="214">
        <f>OutstandingAgri_4!E10</f>
        <v>265177</v>
      </c>
      <c r="F10" s="214">
        <f>OutstandingAgri_4!F10</f>
        <v>457711</v>
      </c>
    </row>
    <row r="11" spans="1:6" ht="14" customHeight="1" x14ac:dyDescent="0.2">
      <c r="A11" s="210">
        <v>6</v>
      </c>
      <c r="B11" s="142" t="s">
        <v>56</v>
      </c>
      <c r="C11" s="204">
        <v>1822</v>
      </c>
      <c r="D11" s="204">
        <v>2540</v>
      </c>
      <c r="E11" s="214">
        <f>OutstandingAgri_4!E11</f>
        <v>74026</v>
      </c>
      <c r="F11" s="214">
        <f>OutstandingAgri_4!F11</f>
        <v>154242</v>
      </c>
    </row>
    <row r="12" spans="1:6" ht="14" customHeight="1" x14ac:dyDescent="0.2">
      <c r="A12" s="210">
        <v>7</v>
      </c>
      <c r="B12" s="142" t="s">
        <v>57</v>
      </c>
      <c r="C12" s="204">
        <v>779</v>
      </c>
      <c r="D12" s="204">
        <v>1020.26</v>
      </c>
      <c r="E12" s="214">
        <f>OutstandingAgri_4!E12</f>
        <v>3675</v>
      </c>
      <c r="F12" s="214">
        <f>OutstandingAgri_4!F12</f>
        <v>8182</v>
      </c>
    </row>
    <row r="13" spans="1:6" ht="14" customHeight="1" x14ac:dyDescent="0.2">
      <c r="A13" s="210">
        <v>8</v>
      </c>
      <c r="B13" s="142" t="s">
        <v>178</v>
      </c>
      <c r="C13" s="204">
        <v>47</v>
      </c>
      <c r="D13" s="204">
        <v>82</v>
      </c>
      <c r="E13" s="214">
        <f>OutstandingAgri_4!E13</f>
        <v>4664</v>
      </c>
      <c r="F13" s="214">
        <f>OutstandingAgri_4!F13</f>
        <v>9105</v>
      </c>
    </row>
    <row r="14" spans="1:6" ht="14" customHeight="1" x14ac:dyDescent="0.2">
      <c r="A14" s="210">
        <v>9</v>
      </c>
      <c r="B14" s="142" t="s">
        <v>58</v>
      </c>
      <c r="C14" s="204">
        <v>35068</v>
      </c>
      <c r="D14" s="204">
        <v>57420.79</v>
      </c>
      <c r="E14" s="214">
        <f>OutstandingAgri_4!E14</f>
        <v>182494</v>
      </c>
      <c r="F14" s="214">
        <f>OutstandingAgri_4!F14</f>
        <v>321183.34000000003</v>
      </c>
    </row>
    <row r="15" spans="1:6" ht="14" customHeight="1" x14ac:dyDescent="0.2">
      <c r="A15" s="210">
        <v>10</v>
      </c>
      <c r="B15" s="142" t="s">
        <v>64</v>
      </c>
      <c r="C15" s="204">
        <v>105614</v>
      </c>
      <c r="D15" s="204">
        <v>289472</v>
      </c>
      <c r="E15" s="214">
        <f>OutstandingAgri_4!E15</f>
        <v>528058</v>
      </c>
      <c r="F15" s="214">
        <f>OutstandingAgri_4!F15</f>
        <v>1206148</v>
      </c>
    </row>
    <row r="16" spans="1:6" ht="14" customHeight="1" x14ac:dyDescent="0.2">
      <c r="A16" s="210">
        <v>11</v>
      </c>
      <c r="B16" s="142" t="s">
        <v>179</v>
      </c>
      <c r="C16" s="204">
        <v>695</v>
      </c>
      <c r="D16" s="204">
        <v>1594</v>
      </c>
      <c r="E16" s="214">
        <f>OutstandingAgri_4!E16</f>
        <v>49238</v>
      </c>
      <c r="F16" s="214">
        <f>OutstandingAgri_4!F16</f>
        <v>89889</v>
      </c>
    </row>
    <row r="17" spans="1:8" ht="14" customHeight="1" x14ac:dyDescent="0.2">
      <c r="A17" s="210">
        <v>12</v>
      </c>
      <c r="B17" s="142" t="s">
        <v>60</v>
      </c>
      <c r="C17" s="204">
        <v>34907</v>
      </c>
      <c r="D17" s="204">
        <v>75785</v>
      </c>
      <c r="E17" s="214">
        <f>OutstandingAgri_4!E17</f>
        <v>154442</v>
      </c>
      <c r="F17" s="214">
        <f>OutstandingAgri_4!F17</f>
        <v>370306</v>
      </c>
    </row>
    <row r="18" spans="1:8" s="339" customFormat="1" ht="14" customHeight="1" x14ac:dyDescent="0.2">
      <c r="A18" s="291"/>
      <c r="B18" s="139" t="s">
        <v>215</v>
      </c>
      <c r="C18" s="338">
        <f>SUM(C6:C17)</f>
        <v>406918</v>
      </c>
      <c r="D18" s="338">
        <f t="shared" ref="D18:F18" si="0">SUM(D6:D17)</f>
        <v>806004.34</v>
      </c>
      <c r="E18" s="338">
        <f t="shared" si="0"/>
        <v>1826115</v>
      </c>
      <c r="F18" s="338">
        <f t="shared" si="0"/>
        <v>3769347.0300000003</v>
      </c>
      <c r="G18" s="342"/>
      <c r="H18" s="342"/>
    </row>
    <row r="19" spans="1:8" ht="14" customHeight="1" x14ac:dyDescent="0.2">
      <c r="A19" s="210">
        <v>13</v>
      </c>
      <c r="B19" s="142" t="s">
        <v>41</v>
      </c>
      <c r="C19" s="204">
        <v>1566</v>
      </c>
      <c r="D19" s="204">
        <v>6051.76</v>
      </c>
      <c r="E19" s="214">
        <f>OutstandingAgri_4!E19</f>
        <v>20134</v>
      </c>
      <c r="F19" s="214">
        <f>OutstandingAgri_4!F19</f>
        <v>73353.570000000007</v>
      </c>
    </row>
    <row r="20" spans="1:8" ht="14" customHeight="1" x14ac:dyDescent="0.2">
      <c r="A20" s="210">
        <v>14</v>
      </c>
      <c r="B20" s="142" t="s">
        <v>180</v>
      </c>
      <c r="C20" s="204">
        <v>32</v>
      </c>
      <c r="D20" s="204">
        <v>153.22999999999999</v>
      </c>
      <c r="E20" s="214">
        <f>OutstandingAgri_4!E20</f>
        <v>59254</v>
      </c>
      <c r="F20" s="214">
        <f>OutstandingAgri_4!F20</f>
        <v>18849.8</v>
      </c>
    </row>
    <row r="21" spans="1:8" ht="14" customHeight="1" x14ac:dyDescent="0.2">
      <c r="A21" s="210">
        <v>15</v>
      </c>
      <c r="B21" s="142" t="s">
        <v>181</v>
      </c>
      <c r="C21" s="204">
        <v>0</v>
      </c>
      <c r="D21" s="204">
        <v>0</v>
      </c>
      <c r="E21" s="214">
        <f>OutstandingAgri_4!E21</f>
        <v>6</v>
      </c>
      <c r="F21" s="214">
        <f>OutstandingAgri_4!F21</f>
        <v>8</v>
      </c>
    </row>
    <row r="22" spans="1:8" ht="14" customHeight="1" x14ac:dyDescent="0.2">
      <c r="A22" s="210">
        <v>16</v>
      </c>
      <c r="B22" s="142" t="s">
        <v>45</v>
      </c>
      <c r="C22" s="204">
        <v>0</v>
      </c>
      <c r="D22" s="204">
        <v>0</v>
      </c>
      <c r="E22" s="214">
        <f>OutstandingAgri_4!E22</f>
        <v>0</v>
      </c>
      <c r="F22" s="214">
        <f>OutstandingAgri_4!F22</f>
        <v>0</v>
      </c>
    </row>
    <row r="23" spans="1:8" ht="14" customHeight="1" x14ac:dyDescent="0.2">
      <c r="A23" s="210">
        <v>17</v>
      </c>
      <c r="B23" s="204" t="s">
        <v>182</v>
      </c>
      <c r="C23" s="204">
        <v>0</v>
      </c>
      <c r="D23" s="204">
        <v>545</v>
      </c>
      <c r="E23" s="214">
        <f>OutstandingAgri_4!E23</f>
        <v>10734</v>
      </c>
      <c r="F23" s="214">
        <f>OutstandingAgri_4!F23</f>
        <v>37705</v>
      </c>
    </row>
    <row r="24" spans="1:8" ht="14" customHeight="1" x14ac:dyDescent="0.2">
      <c r="A24" s="210">
        <v>18</v>
      </c>
      <c r="B24" s="142" t="s">
        <v>183</v>
      </c>
      <c r="C24" s="204">
        <v>0</v>
      </c>
      <c r="D24" s="204">
        <v>0</v>
      </c>
      <c r="E24" s="214">
        <f>OutstandingAgri_4!E24</f>
        <v>0</v>
      </c>
      <c r="F24" s="214">
        <f>OutstandingAgri_4!F24</f>
        <v>0</v>
      </c>
    </row>
    <row r="25" spans="1:8" ht="14" customHeight="1" x14ac:dyDescent="0.2">
      <c r="A25" s="210">
        <v>19</v>
      </c>
      <c r="B25" s="142" t="s">
        <v>184</v>
      </c>
      <c r="C25" s="204">
        <v>0</v>
      </c>
      <c r="D25" s="204">
        <v>0</v>
      </c>
      <c r="E25" s="214">
        <f>OutstandingAgri_4!E25</f>
        <v>8232</v>
      </c>
      <c r="F25" s="214">
        <f>OutstandingAgri_4!F25</f>
        <v>14083</v>
      </c>
    </row>
    <row r="26" spans="1:8" ht="14" customHeight="1" x14ac:dyDescent="0.2">
      <c r="A26" s="210">
        <v>20</v>
      </c>
      <c r="B26" s="142" t="s">
        <v>65</v>
      </c>
      <c r="C26" s="204">
        <v>11518</v>
      </c>
      <c r="D26" s="204">
        <v>46216.63</v>
      </c>
      <c r="E26" s="214">
        <f>OutstandingAgri_4!E26</f>
        <v>52981</v>
      </c>
      <c r="F26" s="214">
        <f>OutstandingAgri_4!F26</f>
        <v>276041.63</v>
      </c>
    </row>
    <row r="27" spans="1:8" ht="14" customHeight="1" x14ac:dyDescent="0.2">
      <c r="A27" s="210">
        <v>21</v>
      </c>
      <c r="B27" s="142" t="s">
        <v>66</v>
      </c>
      <c r="C27" s="204">
        <v>29266</v>
      </c>
      <c r="D27" s="204">
        <v>60701</v>
      </c>
      <c r="E27" s="214">
        <f>OutstandingAgri_4!E27</f>
        <v>71984</v>
      </c>
      <c r="F27" s="214">
        <f>OutstandingAgri_4!F27</f>
        <v>377974</v>
      </c>
    </row>
    <row r="28" spans="1:8" ht="14" customHeight="1" x14ac:dyDescent="0.2">
      <c r="A28" s="210">
        <v>22</v>
      </c>
      <c r="B28" s="142" t="s">
        <v>75</v>
      </c>
      <c r="C28" s="204">
        <v>4381</v>
      </c>
      <c r="D28" s="204">
        <v>8737</v>
      </c>
      <c r="E28" s="214">
        <f>OutstandingAgri_4!E28</f>
        <v>23155</v>
      </c>
      <c r="F28" s="214">
        <f>OutstandingAgri_4!F28</f>
        <v>51557</v>
      </c>
    </row>
    <row r="29" spans="1:8" ht="14" customHeight="1" x14ac:dyDescent="0.2">
      <c r="A29" s="210">
        <v>23</v>
      </c>
      <c r="B29" s="142" t="s">
        <v>379</v>
      </c>
      <c r="C29" s="204">
        <v>971</v>
      </c>
      <c r="D29" s="204">
        <v>4445.9399999999996</v>
      </c>
      <c r="E29" s="214">
        <f>OutstandingAgri_4!E29</f>
        <v>1962</v>
      </c>
      <c r="F29" s="214">
        <f>OutstandingAgri_4!F29</f>
        <v>18460.490000000002</v>
      </c>
    </row>
    <row r="30" spans="1:8" ht="14" customHeight="1" x14ac:dyDescent="0.2">
      <c r="A30" s="210">
        <v>24</v>
      </c>
      <c r="B30" s="142" t="s">
        <v>185</v>
      </c>
      <c r="C30" s="204">
        <v>76</v>
      </c>
      <c r="D30" s="204">
        <v>137</v>
      </c>
      <c r="E30" s="214">
        <f>OutstandingAgri_4!E30</f>
        <v>5259</v>
      </c>
      <c r="F30" s="214">
        <f>OutstandingAgri_4!F30</f>
        <v>51045</v>
      </c>
    </row>
    <row r="31" spans="1:8" ht="14" customHeight="1" x14ac:dyDescent="0.2">
      <c r="A31" s="210">
        <v>25</v>
      </c>
      <c r="B31" s="142" t="s">
        <v>186</v>
      </c>
      <c r="C31" s="204">
        <v>0</v>
      </c>
      <c r="D31" s="204">
        <v>0</v>
      </c>
      <c r="E31" s="214">
        <f>OutstandingAgri_4!E31</f>
        <v>0</v>
      </c>
      <c r="F31" s="214">
        <f>OutstandingAgri_4!F31</f>
        <v>0</v>
      </c>
    </row>
    <row r="32" spans="1:8" ht="14" customHeight="1" x14ac:dyDescent="0.2">
      <c r="A32" s="210">
        <v>26</v>
      </c>
      <c r="B32" s="204" t="s">
        <v>187</v>
      </c>
      <c r="C32" s="204">
        <v>0</v>
      </c>
      <c r="D32" s="204">
        <v>71.150000000000006</v>
      </c>
      <c r="E32" s="214">
        <f>OutstandingAgri_4!E32</f>
        <v>691</v>
      </c>
      <c r="F32" s="214">
        <f>OutstandingAgri_4!F32</f>
        <v>4274.83</v>
      </c>
    </row>
    <row r="33" spans="1:8" ht="14" customHeight="1" x14ac:dyDescent="0.2">
      <c r="A33" s="210">
        <v>27</v>
      </c>
      <c r="B33" s="142" t="s">
        <v>188</v>
      </c>
      <c r="C33" s="204">
        <v>0</v>
      </c>
      <c r="D33" s="204">
        <v>0</v>
      </c>
      <c r="E33" s="214">
        <f>OutstandingAgri_4!E33</f>
        <v>0</v>
      </c>
      <c r="F33" s="214">
        <f>OutstandingAgri_4!F33</f>
        <v>0</v>
      </c>
    </row>
    <row r="34" spans="1:8" ht="14" customHeight="1" x14ac:dyDescent="0.2">
      <c r="A34" s="210">
        <v>28</v>
      </c>
      <c r="B34" s="142" t="s">
        <v>67</v>
      </c>
      <c r="C34" s="204">
        <v>26</v>
      </c>
      <c r="D34" s="204">
        <v>0</v>
      </c>
      <c r="E34" s="214">
        <f>OutstandingAgri_4!E34</f>
        <v>1847</v>
      </c>
      <c r="F34" s="214">
        <f>OutstandingAgri_4!F34</f>
        <v>1414.57</v>
      </c>
    </row>
    <row r="35" spans="1:8" ht="14" customHeight="1" x14ac:dyDescent="0.2">
      <c r="A35" s="210">
        <v>29</v>
      </c>
      <c r="B35" s="142" t="s">
        <v>189</v>
      </c>
      <c r="C35" s="204">
        <v>0</v>
      </c>
      <c r="D35" s="204">
        <v>0</v>
      </c>
      <c r="E35" s="214">
        <f>OutstandingAgri_4!E35</f>
        <v>0</v>
      </c>
      <c r="F35" s="214">
        <f>OutstandingAgri_4!F35</f>
        <v>0</v>
      </c>
    </row>
    <row r="36" spans="1:8" ht="14" customHeight="1" x14ac:dyDescent="0.2">
      <c r="A36" s="210">
        <v>30</v>
      </c>
      <c r="B36" s="142" t="s">
        <v>190</v>
      </c>
      <c r="C36" s="204">
        <v>996</v>
      </c>
      <c r="D36" s="204">
        <v>3251</v>
      </c>
      <c r="E36" s="214">
        <f>OutstandingAgri_4!E36</f>
        <v>4779</v>
      </c>
      <c r="F36" s="214">
        <f>OutstandingAgri_4!F36</f>
        <v>14986</v>
      </c>
    </row>
    <row r="37" spans="1:8" ht="14" customHeight="1" x14ac:dyDescent="0.2">
      <c r="A37" s="210">
        <v>31</v>
      </c>
      <c r="B37" s="142" t="s">
        <v>191</v>
      </c>
      <c r="C37" s="204">
        <v>0</v>
      </c>
      <c r="D37" s="204">
        <v>0</v>
      </c>
      <c r="E37" s="214">
        <f>OutstandingAgri_4!E37</f>
        <v>0</v>
      </c>
      <c r="F37" s="214">
        <f>OutstandingAgri_4!F37</f>
        <v>0</v>
      </c>
    </row>
    <row r="38" spans="1:8" ht="14" customHeight="1" x14ac:dyDescent="0.2">
      <c r="A38" s="210">
        <v>32</v>
      </c>
      <c r="B38" s="142" t="s">
        <v>71</v>
      </c>
      <c r="C38" s="204">
        <v>0</v>
      </c>
      <c r="D38" s="204">
        <v>0</v>
      </c>
      <c r="E38" s="214">
        <f>OutstandingAgri_4!E38</f>
        <v>0</v>
      </c>
      <c r="F38" s="214">
        <f>OutstandingAgri_4!F38</f>
        <v>0</v>
      </c>
    </row>
    <row r="39" spans="1:8" ht="14" customHeight="1" x14ac:dyDescent="0.2">
      <c r="A39" s="210">
        <v>33</v>
      </c>
      <c r="B39" s="142" t="s">
        <v>192</v>
      </c>
      <c r="C39" s="204">
        <v>0</v>
      </c>
      <c r="D39" s="204">
        <v>0</v>
      </c>
      <c r="E39" s="214">
        <f>OutstandingAgri_4!E39</f>
        <v>324</v>
      </c>
      <c r="F39" s="214">
        <f>OutstandingAgri_4!F39</f>
        <v>503</v>
      </c>
    </row>
    <row r="40" spans="1:8" ht="14" customHeight="1" x14ac:dyDescent="0.2">
      <c r="A40" s="210">
        <v>34</v>
      </c>
      <c r="B40" s="142" t="s">
        <v>70</v>
      </c>
      <c r="C40" s="204">
        <v>93</v>
      </c>
      <c r="D40" s="204">
        <v>276</v>
      </c>
      <c r="E40" s="214">
        <f>OutstandingAgri_4!E40</f>
        <v>1186</v>
      </c>
      <c r="F40" s="214">
        <f>OutstandingAgri_4!F40</f>
        <v>5586</v>
      </c>
    </row>
    <row r="41" spans="1:8" s="339" customFormat="1" ht="14" customHeight="1" x14ac:dyDescent="0.2">
      <c r="A41" s="291"/>
      <c r="B41" s="139" t="s">
        <v>213</v>
      </c>
      <c r="C41" s="338">
        <f>SUM(C19:C40)</f>
        <v>48925</v>
      </c>
      <c r="D41" s="338">
        <f t="shared" ref="D41:F41" si="1">SUM(D19:D40)</f>
        <v>130585.70999999999</v>
      </c>
      <c r="E41" s="338">
        <f t="shared" si="1"/>
        <v>262528</v>
      </c>
      <c r="F41" s="338">
        <f t="shared" si="1"/>
        <v>945841.8899999999</v>
      </c>
      <c r="G41" s="342"/>
      <c r="H41" s="342"/>
    </row>
    <row r="42" spans="1:8" s="339" customFormat="1" ht="14" customHeight="1" x14ac:dyDescent="0.2">
      <c r="A42" s="291"/>
      <c r="B42" s="139" t="s">
        <v>311</v>
      </c>
      <c r="C42" s="340">
        <f>C41+C18</f>
        <v>455843</v>
      </c>
      <c r="D42" s="340">
        <f t="shared" ref="D42:F42" si="2">D41+D18</f>
        <v>936590.04999999993</v>
      </c>
      <c r="E42" s="340">
        <f t="shared" si="2"/>
        <v>2088643</v>
      </c>
      <c r="F42" s="340">
        <f t="shared" si="2"/>
        <v>4715188.92</v>
      </c>
      <c r="G42" s="342"/>
      <c r="H42" s="342"/>
    </row>
    <row r="43" spans="1:8" ht="14" customHeight="1" x14ac:dyDescent="0.2">
      <c r="A43" s="210">
        <v>35</v>
      </c>
      <c r="B43" s="142" t="s">
        <v>193</v>
      </c>
      <c r="C43" s="204">
        <v>27800</v>
      </c>
      <c r="D43" s="204">
        <v>65860</v>
      </c>
      <c r="E43" s="214">
        <f>OutstandingAgri_4!E43</f>
        <v>168000</v>
      </c>
      <c r="F43" s="214">
        <f>OutstandingAgri_4!F43</f>
        <v>172342</v>
      </c>
    </row>
    <row r="44" spans="1:8" ht="14" customHeight="1" x14ac:dyDescent="0.2">
      <c r="A44" s="210">
        <v>36</v>
      </c>
      <c r="B44" s="142" t="s">
        <v>382</v>
      </c>
      <c r="C44" s="204">
        <v>110754</v>
      </c>
      <c r="D44" s="204">
        <v>195751.29</v>
      </c>
      <c r="E44" s="214">
        <f>OutstandingAgri_4!E44</f>
        <v>323109</v>
      </c>
      <c r="F44" s="214">
        <f>OutstandingAgri_4!F44</f>
        <v>593018.03</v>
      </c>
    </row>
    <row r="45" spans="1:8" s="339" customFormat="1" ht="14" customHeight="1" x14ac:dyDescent="0.2">
      <c r="A45" s="291"/>
      <c r="B45" s="139" t="s">
        <v>216</v>
      </c>
      <c r="C45" s="338">
        <f>SUM(C43:C44)</f>
        <v>138554</v>
      </c>
      <c r="D45" s="338">
        <f t="shared" ref="D45:F45" si="3">SUM(D43:D44)</f>
        <v>261611.29</v>
      </c>
      <c r="E45" s="338">
        <f t="shared" si="3"/>
        <v>491109</v>
      </c>
      <c r="F45" s="338">
        <f t="shared" si="3"/>
        <v>765360.03</v>
      </c>
      <c r="G45" s="342"/>
      <c r="H45" s="342"/>
    </row>
    <row r="46" spans="1:8" ht="14" customHeight="1" x14ac:dyDescent="0.2">
      <c r="A46" s="210">
        <v>37</v>
      </c>
      <c r="B46" s="142" t="s">
        <v>312</v>
      </c>
      <c r="C46" s="204">
        <v>1207767</v>
      </c>
      <c r="D46" s="204">
        <v>812153</v>
      </c>
      <c r="E46" s="214">
        <f>OutstandingAgri_4!E46</f>
        <v>3794078</v>
      </c>
      <c r="F46" s="214">
        <f>OutstandingAgri_4!F46</f>
        <v>3028038</v>
      </c>
    </row>
    <row r="47" spans="1:8" s="339" customFormat="1" ht="14" customHeight="1" x14ac:dyDescent="0.2">
      <c r="A47" s="291"/>
      <c r="B47" s="139" t="s">
        <v>214</v>
      </c>
      <c r="C47" s="338">
        <f>C46</f>
        <v>1207767</v>
      </c>
      <c r="D47" s="338">
        <f t="shared" ref="D47:F47" si="4">D46</f>
        <v>812153</v>
      </c>
      <c r="E47" s="338">
        <f t="shared" si="4"/>
        <v>3794078</v>
      </c>
      <c r="F47" s="338">
        <f t="shared" si="4"/>
        <v>3028038</v>
      </c>
      <c r="G47" s="342"/>
      <c r="H47" s="342"/>
    </row>
    <row r="48" spans="1:8" ht="14" customHeight="1" x14ac:dyDescent="0.2">
      <c r="A48" s="210">
        <v>38</v>
      </c>
      <c r="B48" s="142" t="s">
        <v>304</v>
      </c>
      <c r="C48" s="204">
        <v>0</v>
      </c>
      <c r="D48" s="204">
        <v>0</v>
      </c>
      <c r="E48" s="214">
        <f>OutstandingAgri_4!E48</f>
        <v>5</v>
      </c>
      <c r="F48" s="214">
        <f>OutstandingAgri_4!F48</f>
        <v>18.100000000000001</v>
      </c>
    </row>
    <row r="49" spans="1:8" ht="14" customHeight="1" x14ac:dyDescent="0.2">
      <c r="A49" s="210">
        <v>39</v>
      </c>
      <c r="B49" s="142" t="s">
        <v>305</v>
      </c>
      <c r="C49" s="204">
        <v>0</v>
      </c>
      <c r="D49" s="204">
        <v>0</v>
      </c>
      <c r="E49" s="214">
        <f>OutstandingAgri_4!E49</f>
        <v>0</v>
      </c>
      <c r="F49" s="214">
        <f>OutstandingAgri_4!F49</f>
        <v>0</v>
      </c>
    </row>
    <row r="50" spans="1:8" ht="14" customHeight="1" x14ac:dyDescent="0.2">
      <c r="A50" s="210">
        <v>40</v>
      </c>
      <c r="B50" s="142" t="s">
        <v>383</v>
      </c>
      <c r="C50" s="204">
        <v>0</v>
      </c>
      <c r="D50" s="204">
        <v>0</v>
      </c>
      <c r="E50" s="214">
        <f>OutstandingAgri_4!E50</f>
        <v>0</v>
      </c>
      <c r="F50" s="214">
        <f>OutstandingAgri_4!F50</f>
        <v>0</v>
      </c>
    </row>
    <row r="51" spans="1:8" ht="14" customHeight="1" x14ac:dyDescent="0.2">
      <c r="A51" s="210">
        <v>41</v>
      </c>
      <c r="B51" s="142" t="s">
        <v>306</v>
      </c>
      <c r="C51" s="204">
        <v>0</v>
      </c>
      <c r="D51" s="204">
        <v>0</v>
      </c>
      <c r="E51" s="214">
        <f>OutstandingAgri_4!E51</f>
        <v>0</v>
      </c>
      <c r="F51" s="214">
        <f>OutstandingAgri_4!F51</f>
        <v>0</v>
      </c>
    </row>
    <row r="52" spans="1:8" ht="14" customHeight="1" x14ac:dyDescent="0.2">
      <c r="A52" s="210">
        <v>42</v>
      </c>
      <c r="B52" s="142" t="s">
        <v>307</v>
      </c>
      <c r="C52" s="204">
        <v>0</v>
      </c>
      <c r="D52" s="204">
        <v>0</v>
      </c>
      <c r="E52" s="214">
        <f>OutstandingAgri_4!E52</f>
        <v>0</v>
      </c>
      <c r="F52" s="214">
        <f>OutstandingAgri_4!F52</f>
        <v>0</v>
      </c>
    </row>
    <row r="53" spans="1:8" ht="14" customHeight="1" x14ac:dyDescent="0.2">
      <c r="A53" s="210">
        <v>43</v>
      </c>
      <c r="B53" s="142" t="s">
        <v>308</v>
      </c>
      <c r="C53" s="204">
        <v>0</v>
      </c>
      <c r="D53" s="204">
        <v>0</v>
      </c>
      <c r="E53" s="214">
        <f>OutstandingAgri_4!E53</f>
        <v>0</v>
      </c>
      <c r="F53" s="214">
        <f>OutstandingAgri_4!F53</f>
        <v>0</v>
      </c>
    </row>
    <row r="54" spans="1:8" ht="14" customHeight="1" x14ac:dyDescent="0.2">
      <c r="A54" s="210">
        <v>44</v>
      </c>
      <c r="B54" s="142" t="s">
        <v>300</v>
      </c>
      <c r="C54" s="204">
        <v>0</v>
      </c>
      <c r="D54" s="204">
        <v>0</v>
      </c>
      <c r="E54" s="214">
        <f>OutstandingAgri_4!E54</f>
        <v>0</v>
      </c>
      <c r="F54" s="214">
        <f>OutstandingAgri_4!F54</f>
        <v>0</v>
      </c>
    </row>
    <row r="55" spans="1:8" ht="14" customHeight="1" x14ac:dyDescent="0.2">
      <c r="A55" s="210">
        <v>45</v>
      </c>
      <c r="B55" s="142" t="s">
        <v>309</v>
      </c>
      <c r="C55" s="204">
        <v>0</v>
      </c>
      <c r="D55" s="204">
        <v>0</v>
      </c>
      <c r="E55" s="214">
        <f>OutstandingAgri_4!E55</f>
        <v>0</v>
      </c>
      <c r="F55" s="214">
        <f>OutstandingAgri_4!F55</f>
        <v>0</v>
      </c>
    </row>
    <row r="56" spans="1:8" s="339" customFormat="1" ht="14" customHeight="1" x14ac:dyDescent="0.2">
      <c r="A56" s="291"/>
      <c r="B56" s="139" t="s">
        <v>310</v>
      </c>
      <c r="C56" s="338">
        <f>SUM(C48:C55)</f>
        <v>0</v>
      </c>
      <c r="D56" s="338">
        <f t="shared" ref="D56:F56" si="5">SUM(D48:D55)</f>
        <v>0</v>
      </c>
      <c r="E56" s="338">
        <f t="shared" si="5"/>
        <v>5</v>
      </c>
      <c r="F56" s="338">
        <f t="shared" si="5"/>
        <v>18.100000000000001</v>
      </c>
      <c r="G56" s="342"/>
      <c r="H56" s="342"/>
    </row>
    <row r="57" spans="1:8" s="339" customFormat="1" ht="14" customHeight="1" x14ac:dyDescent="0.2">
      <c r="A57" s="296"/>
      <c r="B57" s="297" t="s">
        <v>0</v>
      </c>
      <c r="C57" s="338">
        <f>C56+C47+C45+C42</f>
        <v>1802164</v>
      </c>
      <c r="D57" s="338">
        <f t="shared" ref="D57:F57" si="6">D56+D47+D45+D42</f>
        <v>2010354.3399999999</v>
      </c>
      <c r="E57" s="338">
        <f t="shared" si="6"/>
        <v>6373835</v>
      </c>
      <c r="F57" s="338">
        <f t="shared" si="6"/>
        <v>8508605.0500000007</v>
      </c>
      <c r="G57" s="342"/>
      <c r="H57" s="342"/>
    </row>
    <row r="58" spans="1:8" ht="17" x14ac:dyDescent="0.2">
      <c r="D58" s="337" t="s">
        <v>1087</v>
      </c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10" type="noConversion"/>
  <conditionalFormatting sqref="G1:H1048576">
    <cfRule type="cellIs" dxfId="13" priority="1" operator="greaterThan">
      <formula>100</formula>
    </cfRule>
  </conditionalFormatting>
  <pageMargins left="1.45" right="0.7" top="0.39" bottom="0.32" header="0.3" footer="0.3"/>
  <pageSetup scale="8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P58"/>
  <sheetViews>
    <sheetView zoomScaleNormal="100" workbookViewId="0">
      <pane xSplit="2" ySplit="5" topLeftCell="E47" activePane="bottomRight" state="frozen"/>
      <selection pane="topRight" activeCell="C1" sqref="C1"/>
      <selection pane="bottomLeft" activeCell="A6" sqref="A6"/>
      <selection pane="bottomRight" activeCell="L70" sqref="L70"/>
    </sheetView>
  </sheetViews>
  <sheetFormatPr baseColWidth="10" defaultColWidth="9.19921875" defaultRowHeight="13" x14ac:dyDescent="0.2"/>
  <cols>
    <col min="1" max="1" width="6" style="2" customWidth="1"/>
    <col min="2" max="2" width="24.3984375" style="2" bestFit="1" customWidth="1"/>
    <col min="3" max="4" width="0" style="3" hidden="1" customWidth="1"/>
    <col min="5" max="5" width="10.796875" style="3" customWidth="1"/>
    <col min="6" max="6" width="10" style="3" customWidth="1"/>
    <col min="7" max="7" width="6.59765625" style="3" bestFit="1" customWidth="1"/>
    <col min="8" max="8" width="8.3984375" style="3" customWidth="1"/>
    <col min="9" max="9" width="5.796875" style="3" bestFit="1" customWidth="1"/>
    <col min="10" max="10" width="7.19921875" style="3" bestFit="1" customWidth="1"/>
    <col min="11" max="11" width="8.3984375" style="3" customWidth="1"/>
    <col min="12" max="12" width="9.796875" style="3" customWidth="1"/>
    <col min="13" max="13" width="9" style="3" bestFit="1" customWidth="1"/>
    <col min="14" max="14" width="9.19921875" style="3" bestFit="1" customWidth="1"/>
    <col min="15" max="15" width="7" style="356" bestFit="1" customWidth="1"/>
    <col min="16" max="16" width="9.19921875" style="356"/>
    <col min="17" max="16384" width="9.19921875" style="2"/>
  </cols>
  <sheetData>
    <row r="1" spans="1:16" s="62" customFormat="1" ht="20" customHeight="1" x14ac:dyDescent="0.2">
      <c r="A1" s="465" t="s">
        <v>1059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364"/>
      <c r="P1" s="364"/>
    </row>
    <row r="2" spans="1:16" ht="15" customHeight="1" x14ac:dyDescent="0.2">
      <c r="B2" s="466" t="s">
        <v>124</v>
      </c>
      <c r="C2" s="466"/>
      <c r="D2" s="300"/>
      <c r="K2" s="462" t="s">
        <v>171</v>
      </c>
      <c r="L2" s="462"/>
    </row>
    <row r="3" spans="1:16" ht="85" customHeight="1" x14ac:dyDescent="0.2">
      <c r="A3" s="292" t="s">
        <v>172</v>
      </c>
      <c r="B3" s="292" t="s">
        <v>209</v>
      </c>
      <c r="C3" s="411" t="s">
        <v>1060</v>
      </c>
      <c r="D3" s="411"/>
      <c r="E3" s="411" t="s">
        <v>218</v>
      </c>
      <c r="F3" s="411"/>
      <c r="G3" s="411" t="s">
        <v>1065</v>
      </c>
      <c r="H3" s="411"/>
      <c r="I3" s="411" t="s">
        <v>170</v>
      </c>
      <c r="J3" s="411"/>
      <c r="K3" s="411" t="s">
        <v>173</v>
      </c>
      <c r="L3" s="411"/>
      <c r="M3" s="411" t="s">
        <v>1063</v>
      </c>
      <c r="N3" s="411"/>
    </row>
    <row r="4" spans="1:16" ht="14" x14ac:dyDescent="0.2">
      <c r="A4" s="361">
        <v>1</v>
      </c>
      <c r="B4" s="292">
        <v>2</v>
      </c>
      <c r="C4" s="411">
        <v>3</v>
      </c>
      <c r="D4" s="411"/>
      <c r="E4" s="411">
        <v>3</v>
      </c>
      <c r="F4" s="411"/>
      <c r="G4" s="411">
        <v>4</v>
      </c>
      <c r="H4" s="411"/>
      <c r="I4" s="411">
        <v>5</v>
      </c>
      <c r="J4" s="411"/>
      <c r="K4" s="411">
        <v>6</v>
      </c>
      <c r="L4" s="411"/>
      <c r="M4" s="411">
        <v>7</v>
      </c>
      <c r="N4" s="411"/>
    </row>
    <row r="5" spans="1:16" ht="20" customHeight="1" x14ac:dyDescent="0.2">
      <c r="A5" s="361"/>
      <c r="B5" s="361" t="s">
        <v>1064</v>
      </c>
      <c r="C5" s="361" t="s">
        <v>27</v>
      </c>
      <c r="D5" s="361" t="s">
        <v>15</v>
      </c>
      <c r="E5" s="361" t="s">
        <v>27</v>
      </c>
      <c r="F5" s="361" t="s">
        <v>93</v>
      </c>
      <c r="G5" s="361" t="s">
        <v>27</v>
      </c>
      <c r="H5" s="361" t="s">
        <v>93</v>
      </c>
      <c r="I5" s="361" t="s">
        <v>27</v>
      </c>
      <c r="J5" s="361" t="s">
        <v>93</v>
      </c>
      <c r="K5" s="361" t="s">
        <v>27</v>
      </c>
      <c r="L5" s="361" t="s">
        <v>93</v>
      </c>
      <c r="M5" s="292" t="s">
        <v>198</v>
      </c>
      <c r="N5" s="361" t="s">
        <v>93</v>
      </c>
    </row>
    <row r="6" spans="1:16" ht="13" customHeight="1" x14ac:dyDescent="0.2">
      <c r="A6" s="105">
        <v>1</v>
      </c>
      <c r="B6" s="40" t="s">
        <v>51</v>
      </c>
      <c r="C6" s="365"/>
      <c r="D6" s="57"/>
      <c r="E6" s="365">
        <v>79</v>
      </c>
      <c r="F6" s="365">
        <v>1240</v>
      </c>
      <c r="G6" s="365">
        <v>51</v>
      </c>
      <c r="H6" s="365">
        <v>844</v>
      </c>
      <c r="I6" s="365">
        <v>0</v>
      </c>
      <c r="J6" s="365">
        <v>0</v>
      </c>
      <c r="K6" s="57">
        <f>'Pri Sec_outstanding_6'!E6+NPS_OS_8!E6</f>
        <v>3761</v>
      </c>
      <c r="L6" s="57">
        <f>'Pri Sec_outstanding_6'!F6+NPS_OS_8!F6</f>
        <v>17454</v>
      </c>
      <c r="M6" s="57">
        <v>1742</v>
      </c>
      <c r="N6" s="57">
        <v>6254</v>
      </c>
    </row>
    <row r="7" spans="1:16" ht="13" customHeight="1" x14ac:dyDescent="0.2">
      <c r="A7" s="105">
        <v>2</v>
      </c>
      <c r="B7" s="40" t="s">
        <v>52</v>
      </c>
      <c r="C7" s="365"/>
      <c r="D7" s="57"/>
      <c r="E7" s="365">
        <v>409</v>
      </c>
      <c r="F7" s="365">
        <v>320</v>
      </c>
      <c r="G7" s="365">
        <v>0</v>
      </c>
      <c r="H7" s="365">
        <v>0</v>
      </c>
      <c r="I7" s="365">
        <v>0</v>
      </c>
      <c r="J7" s="365">
        <v>0</v>
      </c>
      <c r="K7" s="57">
        <f>'Pri Sec_outstanding_6'!E7+NPS_OS_8!E7</f>
        <v>15713</v>
      </c>
      <c r="L7" s="57">
        <f>'Pri Sec_outstanding_6'!F7+NPS_OS_8!F7</f>
        <v>37440.949999999997</v>
      </c>
      <c r="M7" s="57">
        <v>1598</v>
      </c>
      <c r="N7" s="57">
        <v>5889</v>
      </c>
    </row>
    <row r="8" spans="1:16" ht="13" customHeight="1" x14ac:dyDescent="0.2">
      <c r="A8" s="105">
        <v>3</v>
      </c>
      <c r="B8" s="40" t="s">
        <v>53</v>
      </c>
      <c r="C8" s="365"/>
      <c r="D8" s="57"/>
      <c r="E8" s="365">
        <v>15</v>
      </c>
      <c r="F8" s="365">
        <v>42.32</v>
      </c>
      <c r="G8" s="365">
        <v>6</v>
      </c>
      <c r="H8" s="365">
        <v>11.29</v>
      </c>
      <c r="I8" s="365">
        <v>0</v>
      </c>
      <c r="J8" s="365">
        <v>0</v>
      </c>
      <c r="K8" s="57">
        <f>'Pri Sec_outstanding_6'!E8+NPS_OS_8!E8</f>
        <v>979</v>
      </c>
      <c r="L8" s="57">
        <f>'Pri Sec_outstanding_6'!F8+NPS_OS_8!F8</f>
        <v>3653.7</v>
      </c>
      <c r="M8" s="57">
        <v>407</v>
      </c>
      <c r="N8" s="57">
        <v>1491.28</v>
      </c>
    </row>
    <row r="9" spans="1:16" ht="13" customHeight="1" x14ac:dyDescent="0.2">
      <c r="A9" s="105">
        <v>4</v>
      </c>
      <c r="B9" s="40" t="s">
        <v>54</v>
      </c>
      <c r="C9" s="365"/>
      <c r="D9" s="57"/>
      <c r="E9" s="365">
        <v>56</v>
      </c>
      <c r="F9" s="365">
        <v>588</v>
      </c>
      <c r="G9" s="365">
        <v>0</v>
      </c>
      <c r="H9" s="365">
        <v>0</v>
      </c>
      <c r="I9" s="365">
        <v>0</v>
      </c>
      <c r="J9" s="365">
        <v>0</v>
      </c>
      <c r="K9" s="57">
        <f>'Pri Sec_outstanding_6'!E9+NPS_OS_8!E9</f>
        <v>6012</v>
      </c>
      <c r="L9" s="57">
        <f>'Pri Sec_outstanding_6'!F9+NPS_OS_8!F9</f>
        <v>18703.27</v>
      </c>
      <c r="M9" s="57">
        <v>1413</v>
      </c>
      <c r="N9" s="57">
        <v>5356</v>
      </c>
    </row>
    <row r="10" spans="1:16" ht="13" customHeight="1" x14ac:dyDescent="0.2">
      <c r="A10" s="105">
        <v>5</v>
      </c>
      <c r="B10" s="40" t="s">
        <v>55</v>
      </c>
      <c r="C10" s="365"/>
      <c r="D10" s="57"/>
      <c r="E10" s="365">
        <v>47</v>
      </c>
      <c r="F10" s="365">
        <v>201</v>
      </c>
      <c r="G10" s="365">
        <v>12</v>
      </c>
      <c r="H10" s="365">
        <v>52</v>
      </c>
      <c r="I10" s="365">
        <v>0</v>
      </c>
      <c r="J10" s="365">
        <v>0</v>
      </c>
      <c r="K10" s="57">
        <f>'Pri Sec_outstanding_6'!E10+NPS_OS_8!E10</f>
        <v>7939</v>
      </c>
      <c r="L10" s="57">
        <f>'Pri Sec_outstanding_6'!F10+NPS_OS_8!F10</f>
        <v>28721</v>
      </c>
      <c r="M10" s="57">
        <v>2750</v>
      </c>
      <c r="N10" s="57">
        <v>7860</v>
      </c>
    </row>
    <row r="11" spans="1:16" ht="13" customHeight="1" x14ac:dyDescent="0.2">
      <c r="A11" s="105">
        <v>6</v>
      </c>
      <c r="B11" s="40" t="s">
        <v>56</v>
      </c>
      <c r="C11" s="365"/>
      <c r="D11" s="57"/>
      <c r="E11" s="365">
        <v>10</v>
      </c>
      <c r="F11" s="365">
        <v>58</v>
      </c>
      <c r="G11" s="365">
        <v>5</v>
      </c>
      <c r="H11" s="365">
        <v>35</v>
      </c>
      <c r="I11" s="365">
        <v>0</v>
      </c>
      <c r="J11" s="365">
        <v>0</v>
      </c>
      <c r="K11" s="57">
        <f>'Pri Sec_outstanding_6'!E11+NPS_OS_8!E11</f>
        <v>1942</v>
      </c>
      <c r="L11" s="57">
        <f>'Pri Sec_outstanding_6'!F11+NPS_OS_8!F11</f>
        <v>9525</v>
      </c>
      <c r="M11" s="57">
        <v>701</v>
      </c>
      <c r="N11" s="57">
        <v>3110</v>
      </c>
    </row>
    <row r="12" spans="1:16" ht="13" customHeight="1" x14ac:dyDescent="0.2">
      <c r="A12" s="105">
        <v>7</v>
      </c>
      <c r="B12" s="40" t="s">
        <v>57</v>
      </c>
      <c r="C12" s="365"/>
      <c r="D12" s="57"/>
      <c r="E12" s="365">
        <v>3</v>
      </c>
      <c r="F12" s="365">
        <v>2</v>
      </c>
      <c r="G12" s="365">
        <v>1</v>
      </c>
      <c r="H12" s="365">
        <v>1</v>
      </c>
      <c r="I12" s="365">
        <v>0</v>
      </c>
      <c r="J12" s="365">
        <v>0</v>
      </c>
      <c r="K12" s="57">
        <f>'Pri Sec_outstanding_6'!E12+NPS_OS_8!E12</f>
        <v>318</v>
      </c>
      <c r="L12" s="57">
        <f>'Pri Sec_outstanding_6'!F12+NPS_OS_8!F12</f>
        <v>1064</v>
      </c>
      <c r="M12" s="57">
        <v>124</v>
      </c>
      <c r="N12" s="57">
        <v>468</v>
      </c>
    </row>
    <row r="13" spans="1:16" ht="13" customHeight="1" x14ac:dyDescent="0.2">
      <c r="A13" s="105">
        <v>8</v>
      </c>
      <c r="B13" s="40" t="s">
        <v>178</v>
      </c>
      <c r="C13" s="365"/>
      <c r="D13" s="57"/>
      <c r="E13" s="365">
        <v>162</v>
      </c>
      <c r="F13" s="365">
        <v>1361</v>
      </c>
      <c r="G13" s="365">
        <v>61</v>
      </c>
      <c r="H13" s="365">
        <v>490</v>
      </c>
      <c r="I13" s="365">
        <v>0</v>
      </c>
      <c r="J13" s="365">
        <v>0</v>
      </c>
      <c r="K13" s="57">
        <f>'Pri Sec_outstanding_6'!E13+NPS_OS_8!E13</f>
        <v>162</v>
      </c>
      <c r="L13" s="57">
        <f>'Pri Sec_outstanding_6'!F13+NPS_OS_8!F13</f>
        <v>766</v>
      </c>
      <c r="M13" s="57">
        <v>61</v>
      </c>
      <c r="N13" s="57">
        <v>294</v>
      </c>
    </row>
    <row r="14" spans="1:16" ht="13" customHeight="1" x14ac:dyDescent="0.2">
      <c r="A14" s="105">
        <v>9</v>
      </c>
      <c r="B14" s="40" t="s">
        <v>58</v>
      </c>
      <c r="C14" s="365"/>
      <c r="D14" s="57"/>
      <c r="E14" s="365">
        <v>57</v>
      </c>
      <c r="F14" s="365">
        <v>480.26</v>
      </c>
      <c r="G14" s="365">
        <v>19</v>
      </c>
      <c r="H14" s="365">
        <v>190.11</v>
      </c>
      <c r="I14" s="365">
        <v>0</v>
      </c>
      <c r="J14" s="365">
        <v>0</v>
      </c>
      <c r="K14" s="57">
        <f>'Pri Sec_outstanding_6'!E14+NPS_OS_8!E14</f>
        <v>7263</v>
      </c>
      <c r="L14" s="57">
        <f>'Pri Sec_outstanding_6'!F14+NPS_OS_8!F14</f>
        <v>28915.83</v>
      </c>
      <c r="M14" s="57">
        <v>2586</v>
      </c>
      <c r="N14" s="57">
        <v>11370.33</v>
      </c>
    </row>
    <row r="15" spans="1:16" ht="13" customHeight="1" x14ac:dyDescent="0.2">
      <c r="A15" s="105">
        <v>10</v>
      </c>
      <c r="B15" s="40" t="s">
        <v>64</v>
      </c>
      <c r="C15" s="365"/>
      <c r="D15" s="57"/>
      <c r="E15" s="365">
        <v>261</v>
      </c>
      <c r="F15" s="365">
        <v>556</v>
      </c>
      <c r="G15" s="365">
        <v>100</v>
      </c>
      <c r="H15" s="365">
        <v>212</v>
      </c>
      <c r="I15" s="365">
        <v>0</v>
      </c>
      <c r="J15" s="365">
        <v>0</v>
      </c>
      <c r="K15" s="57">
        <f>'Pri Sec_outstanding_6'!E15+NPS_OS_8!E15</f>
        <v>20799</v>
      </c>
      <c r="L15" s="57">
        <f>'Pri Sec_outstanding_6'!F15+NPS_OS_8!F15</f>
        <v>93053</v>
      </c>
      <c r="M15" s="57">
        <v>7415</v>
      </c>
      <c r="N15" s="57">
        <v>32748</v>
      </c>
    </row>
    <row r="16" spans="1:16" ht="13" customHeight="1" x14ac:dyDescent="0.2">
      <c r="A16" s="105">
        <v>11</v>
      </c>
      <c r="B16" s="40" t="s">
        <v>179</v>
      </c>
      <c r="C16" s="365"/>
      <c r="D16" s="57"/>
      <c r="E16" s="365">
        <v>13</v>
      </c>
      <c r="F16" s="365">
        <v>85</v>
      </c>
      <c r="G16" s="365">
        <v>3</v>
      </c>
      <c r="H16" s="365">
        <v>11</v>
      </c>
      <c r="I16" s="365">
        <v>0</v>
      </c>
      <c r="J16" s="365">
        <v>0</v>
      </c>
      <c r="K16" s="57">
        <f>'Pri Sec_outstanding_6'!E16+NPS_OS_8!E16</f>
        <v>1613</v>
      </c>
      <c r="L16" s="57">
        <f>'Pri Sec_outstanding_6'!F16+NPS_OS_8!F16</f>
        <v>4527</v>
      </c>
      <c r="M16" s="57">
        <v>582</v>
      </c>
      <c r="N16" s="57">
        <v>1610</v>
      </c>
    </row>
    <row r="17" spans="1:16" ht="13" customHeight="1" x14ac:dyDescent="0.2">
      <c r="A17" s="105">
        <v>12</v>
      </c>
      <c r="B17" s="40" t="s">
        <v>60</v>
      </c>
      <c r="C17" s="365"/>
      <c r="D17" s="57"/>
      <c r="E17" s="365">
        <v>58</v>
      </c>
      <c r="F17" s="365">
        <v>906</v>
      </c>
      <c r="G17" s="365">
        <v>19</v>
      </c>
      <c r="H17" s="365">
        <v>245</v>
      </c>
      <c r="I17" s="365">
        <v>0</v>
      </c>
      <c r="J17" s="365">
        <v>0</v>
      </c>
      <c r="K17" s="57">
        <f>'Pri Sec_outstanding_6'!E17+NPS_OS_8!E17</f>
        <v>4040</v>
      </c>
      <c r="L17" s="57">
        <f>'Pri Sec_outstanding_6'!F17+NPS_OS_8!F17</f>
        <v>14993</v>
      </c>
      <c r="M17" s="57">
        <v>1557</v>
      </c>
      <c r="N17" s="57">
        <v>5977</v>
      </c>
    </row>
    <row r="18" spans="1:16" s="69" customFormat="1" ht="13" customHeight="1" x14ac:dyDescent="0.2">
      <c r="A18" s="293"/>
      <c r="B18" s="42" t="s">
        <v>215</v>
      </c>
      <c r="C18" s="366"/>
      <c r="D18" s="68"/>
      <c r="E18" s="366">
        <f t="shared" ref="E18:N18" si="0">SUM(E6:E17)</f>
        <v>1170</v>
      </c>
      <c r="F18" s="366">
        <f t="shared" si="0"/>
        <v>5839.58</v>
      </c>
      <c r="G18" s="366">
        <f t="shared" si="0"/>
        <v>277</v>
      </c>
      <c r="H18" s="366">
        <f t="shared" si="0"/>
        <v>2091.4</v>
      </c>
      <c r="I18" s="366">
        <f t="shared" si="0"/>
        <v>0</v>
      </c>
      <c r="J18" s="366">
        <f t="shared" si="0"/>
        <v>0</v>
      </c>
      <c r="K18" s="366">
        <f t="shared" si="0"/>
        <v>70541</v>
      </c>
      <c r="L18" s="366">
        <f t="shared" si="0"/>
        <v>258816.75</v>
      </c>
      <c r="M18" s="366">
        <f t="shared" si="0"/>
        <v>20936</v>
      </c>
      <c r="N18" s="366">
        <f t="shared" si="0"/>
        <v>82427.61</v>
      </c>
      <c r="O18" s="356"/>
      <c r="P18" s="356"/>
    </row>
    <row r="19" spans="1:16" ht="13" customHeight="1" x14ac:dyDescent="0.2">
      <c r="A19" s="105">
        <v>13</v>
      </c>
      <c r="B19" s="40" t="s">
        <v>41</v>
      </c>
      <c r="C19" s="365"/>
      <c r="D19" s="57"/>
      <c r="E19" s="365">
        <v>55</v>
      </c>
      <c r="F19" s="365">
        <v>357.57</v>
      </c>
      <c r="G19" s="365">
        <v>21</v>
      </c>
      <c r="H19" s="365">
        <v>128.88999999999999</v>
      </c>
      <c r="I19" s="365">
        <v>0</v>
      </c>
      <c r="J19" s="365">
        <v>0</v>
      </c>
      <c r="K19" s="57">
        <f>'Pri Sec_outstanding_6'!E19+NPS_OS_8!E19</f>
        <v>837</v>
      </c>
      <c r="L19" s="57">
        <f>'Pri Sec_outstanding_6'!F19+NPS_OS_8!F19</f>
        <v>6467.3600000000006</v>
      </c>
      <c r="M19" s="57">
        <v>284</v>
      </c>
      <c r="N19" s="57">
        <v>2254.58</v>
      </c>
    </row>
    <row r="20" spans="1:16" ht="13" customHeight="1" x14ac:dyDescent="0.2">
      <c r="A20" s="105">
        <v>14</v>
      </c>
      <c r="B20" s="40" t="s">
        <v>180</v>
      </c>
      <c r="C20" s="365"/>
      <c r="D20" s="57"/>
      <c r="E20" s="365">
        <v>0</v>
      </c>
      <c r="F20" s="365">
        <v>0</v>
      </c>
      <c r="G20" s="365">
        <v>0</v>
      </c>
      <c r="H20" s="365">
        <v>0</v>
      </c>
      <c r="I20" s="365">
        <v>0</v>
      </c>
      <c r="J20" s="365">
        <v>0</v>
      </c>
      <c r="K20" s="57">
        <f>'Pri Sec_outstanding_6'!E20+NPS_OS_8!E20</f>
        <v>0</v>
      </c>
      <c r="L20" s="57">
        <f>'Pri Sec_outstanding_6'!F20+NPS_OS_8!F20</f>
        <v>0</v>
      </c>
      <c r="M20" s="57">
        <v>0</v>
      </c>
      <c r="N20" s="57">
        <v>0</v>
      </c>
    </row>
    <row r="21" spans="1:16" ht="13" customHeight="1" x14ac:dyDescent="0.2">
      <c r="A21" s="105">
        <v>15</v>
      </c>
      <c r="B21" s="40" t="s">
        <v>181</v>
      </c>
      <c r="C21" s="365"/>
      <c r="D21" s="57"/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57">
        <f>'Pri Sec_outstanding_6'!E21+NPS_OS_8!E21</f>
        <v>0</v>
      </c>
      <c r="L21" s="57">
        <f>'Pri Sec_outstanding_6'!F21+NPS_OS_8!F21</f>
        <v>0</v>
      </c>
      <c r="M21" s="57">
        <v>0</v>
      </c>
      <c r="N21" s="57">
        <v>0</v>
      </c>
    </row>
    <row r="22" spans="1:16" ht="13" customHeight="1" x14ac:dyDescent="0.2">
      <c r="A22" s="362">
        <v>16</v>
      </c>
      <c r="B22" s="363" t="s">
        <v>45</v>
      </c>
      <c r="C22" s="367"/>
      <c r="D22" s="217"/>
      <c r="E22" s="367">
        <v>0</v>
      </c>
      <c r="F22" s="367">
        <v>0</v>
      </c>
      <c r="G22" s="367">
        <v>0</v>
      </c>
      <c r="H22" s="367">
        <v>0</v>
      </c>
      <c r="I22" s="367">
        <v>0</v>
      </c>
      <c r="J22" s="367">
        <v>0</v>
      </c>
      <c r="K22" s="57">
        <f>'Pri Sec_outstanding_6'!E22+NPS_OS_8!E22</f>
        <v>4</v>
      </c>
      <c r="L22" s="57">
        <f>'Pri Sec_outstanding_6'!F22+NPS_OS_8!F22</f>
        <v>41.14</v>
      </c>
      <c r="M22" s="217">
        <v>0</v>
      </c>
      <c r="N22" s="217">
        <v>0</v>
      </c>
    </row>
    <row r="23" spans="1:16" ht="13" customHeight="1" x14ac:dyDescent="0.2">
      <c r="A23" s="105">
        <v>17</v>
      </c>
      <c r="B23" s="40" t="s">
        <v>182</v>
      </c>
      <c r="C23" s="207"/>
      <c r="D23" s="57"/>
      <c r="E23" s="207">
        <v>6</v>
      </c>
      <c r="F23" s="207">
        <v>14</v>
      </c>
      <c r="G23" s="207">
        <v>3</v>
      </c>
      <c r="H23" s="207">
        <v>4</v>
      </c>
      <c r="I23" s="207">
        <v>0</v>
      </c>
      <c r="J23" s="207">
        <v>0</v>
      </c>
      <c r="K23" s="57">
        <f>'Pri Sec_outstanding_6'!E23+NPS_OS_8!E23</f>
        <v>92</v>
      </c>
      <c r="L23" s="57">
        <f>'Pri Sec_outstanding_6'!F23+NPS_OS_8!F23</f>
        <v>140</v>
      </c>
      <c r="M23" s="57">
        <v>22</v>
      </c>
      <c r="N23" s="57">
        <v>43</v>
      </c>
    </row>
    <row r="24" spans="1:16" ht="13" customHeight="1" x14ac:dyDescent="0.2">
      <c r="A24" s="105">
        <v>18</v>
      </c>
      <c r="B24" s="40" t="s">
        <v>183</v>
      </c>
      <c r="C24" s="207"/>
      <c r="D24" s="57"/>
      <c r="E24" s="207">
        <v>0</v>
      </c>
      <c r="F24" s="207">
        <v>0</v>
      </c>
      <c r="G24" s="207">
        <v>0</v>
      </c>
      <c r="H24" s="207">
        <v>0</v>
      </c>
      <c r="I24" s="207">
        <v>0</v>
      </c>
      <c r="J24" s="207">
        <v>0</v>
      </c>
      <c r="K24" s="57">
        <f>'Pri Sec_outstanding_6'!E24+NPS_OS_8!E24</f>
        <v>0</v>
      </c>
      <c r="L24" s="57">
        <f>'Pri Sec_outstanding_6'!F24+NPS_OS_8!F24</f>
        <v>0</v>
      </c>
      <c r="M24" s="57">
        <v>0</v>
      </c>
      <c r="N24" s="57">
        <v>0</v>
      </c>
    </row>
    <row r="25" spans="1:16" ht="13" customHeight="1" x14ac:dyDescent="0.2">
      <c r="A25" s="105">
        <v>19</v>
      </c>
      <c r="B25" s="40" t="s">
        <v>184</v>
      </c>
      <c r="C25" s="207"/>
      <c r="D25" s="57"/>
      <c r="E25" s="207">
        <v>18</v>
      </c>
      <c r="F25" s="207">
        <v>62</v>
      </c>
      <c r="G25" s="207">
        <v>4</v>
      </c>
      <c r="H25" s="207">
        <v>12</v>
      </c>
      <c r="I25" s="207">
        <v>0</v>
      </c>
      <c r="J25" s="207">
        <v>0</v>
      </c>
      <c r="K25" s="57">
        <f>'Pri Sec_outstanding_6'!E25+NPS_OS_8!E25</f>
        <v>16</v>
      </c>
      <c r="L25" s="57">
        <f>'Pri Sec_outstanding_6'!F25+NPS_OS_8!F25</f>
        <v>53</v>
      </c>
      <c r="M25" s="57">
        <v>1</v>
      </c>
      <c r="N25" s="57">
        <v>3</v>
      </c>
    </row>
    <row r="26" spans="1:16" ht="13" customHeight="1" x14ac:dyDescent="0.2">
      <c r="A26" s="105">
        <v>20</v>
      </c>
      <c r="B26" s="40" t="s">
        <v>65</v>
      </c>
      <c r="C26" s="207"/>
      <c r="D26" s="57"/>
      <c r="E26" s="207">
        <v>73</v>
      </c>
      <c r="F26" s="207">
        <v>84.41</v>
      </c>
      <c r="G26" s="207">
        <v>19</v>
      </c>
      <c r="H26" s="207">
        <v>19.66</v>
      </c>
      <c r="I26" s="207">
        <v>0</v>
      </c>
      <c r="J26" s="207">
        <v>0</v>
      </c>
      <c r="K26" s="57">
        <f>'Pri Sec_outstanding_6'!E26+NPS_OS_8!E26</f>
        <v>1627</v>
      </c>
      <c r="L26" s="57">
        <f>'Pri Sec_outstanding_6'!F26+NPS_OS_8!F26</f>
        <v>3562.11</v>
      </c>
      <c r="M26" s="57">
        <v>18</v>
      </c>
      <c r="N26" s="57">
        <v>42.93</v>
      </c>
    </row>
    <row r="27" spans="1:16" ht="13" customHeight="1" x14ac:dyDescent="0.2">
      <c r="A27" s="105">
        <v>21</v>
      </c>
      <c r="B27" s="40" t="s">
        <v>66</v>
      </c>
      <c r="C27" s="57"/>
      <c r="D27" s="57"/>
      <c r="E27" s="57">
        <v>19</v>
      </c>
      <c r="F27" s="57">
        <v>225</v>
      </c>
      <c r="G27" s="57">
        <v>9</v>
      </c>
      <c r="H27" s="57">
        <v>112</v>
      </c>
      <c r="I27" s="57">
        <v>0</v>
      </c>
      <c r="J27" s="57">
        <v>0</v>
      </c>
      <c r="K27" s="57">
        <f>'Pri Sec_outstanding_6'!E27+NPS_OS_8!E27</f>
        <v>399</v>
      </c>
      <c r="L27" s="57">
        <f>'Pri Sec_outstanding_6'!F27+NPS_OS_8!F27</f>
        <v>2070</v>
      </c>
      <c r="M27" s="57">
        <v>182</v>
      </c>
      <c r="N27" s="57">
        <v>819</v>
      </c>
    </row>
    <row r="28" spans="1:16" ht="13" customHeight="1" x14ac:dyDescent="0.2">
      <c r="A28" s="105">
        <v>22</v>
      </c>
      <c r="B28" s="40" t="s">
        <v>75</v>
      </c>
      <c r="C28" s="57"/>
      <c r="D28" s="57"/>
      <c r="E28" s="57">
        <v>17</v>
      </c>
      <c r="F28" s="57">
        <v>366</v>
      </c>
      <c r="G28" s="57">
        <v>4</v>
      </c>
      <c r="H28" s="57">
        <v>77</v>
      </c>
      <c r="I28" s="57">
        <v>0</v>
      </c>
      <c r="J28" s="57">
        <v>0</v>
      </c>
      <c r="K28" s="57">
        <f>'Pri Sec_outstanding_6'!E28+NPS_OS_8!E28</f>
        <v>672</v>
      </c>
      <c r="L28" s="57">
        <f>'Pri Sec_outstanding_6'!F28+NPS_OS_8!F28</f>
        <v>3103.83</v>
      </c>
      <c r="M28" s="57">
        <v>248</v>
      </c>
      <c r="N28" s="57">
        <v>972</v>
      </c>
    </row>
    <row r="29" spans="1:16" ht="13" customHeight="1" x14ac:dyDescent="0.2">
      <c r="A29" s="105">
        <v>23</v>
      </c>
      <c r="B29" s="40" t="s">
        <v>379</v>
      </c>
      <c r="C29" s="57"/>
      <c r="D29" s="57"/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f>'Pri Sec_outstanding_6'!E29+NPS_OS_8!E29</f>
        <v>0</v>
      </c>
      <c r="L29" s="57">
        <f>'Pri Sec_outstanding_6'!F29+NPS_OS_8!F29</f>
        <v>0</v>
      </c>
      <c r="M29" s="57">
        <v>0</v>
      </c>
      <c r="N29" s="57">
        <v>0</v>
      </c>
    </row>
    <row r="30" spans="1:16" ht="13" customHeight="1" x14ac:dyDescent="0.2">
      <c r="A30" s="105">
        <v>24</v>
      </c>
      <c r="B30" s="40" t="s">
        <v>185</v>
      </c>
      <c r="C30" s="57"/>
      <c r="D30" s="57"/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f>'Pri Sec_outstanding_6'!E30+NPS_OS_8!E30</f>
        <v>0</v>
      </c>
      <c r="L30" s="57">
        <f>'Pri Sec_outstanding_6'!F30+NPS_OS_8!F30</f>
        <v>0</v>
      </c>
      <c r="M30" s="57">
        <v>0</v>
      </c>
      <c r="N30" s="57">
        <v>0</v>
      </c>
    </row>
    <row r="31" spans="1:16" ht="13" customHeight="1" x14ac:dyDescent="0.2">
      <c r="A31" s="105">
        <v>25</v>
      </c>
      <c r="B31" s="40" t="s">
        <v>186</v>
      </c>
      <c r="C31" s="57"/>
      <c r="D31" s="57"/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f>'Pri Sec_outstanding_6'!E31+NPS_OS_8!E31</f>
        <v>5</v>
      </c>
      <c r="L31" s="57">
        <f>'Pri Sec_outstanding_6'!F31+NPS_OS_8!F31</f>
        <v>45</v>
      </c>
      <c r="M31" s="57">
        <v>3</v>
      </c>
      <c r="N31" s="57">
        <v>10</v>
      </c>
    </row>
    <row r="32" spans="1:16" ht="13" customHeight="1" x14ac:dyDescent="0.2">
      <c r="A32" s="105">
        <v>26</v>
      </c>
      <c r="B32" s="40" t="s">
        <v>187</v>
      </c>
      <c r="C32" s="57"/>
      <c r="D32" s="57"/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f>'Pri Sec_outstanding_6'!E32+NPS_OS_8!E32</f>
        <v>11</v>
      </c>
      <c r="L32" s="57">
        <f>'Pri Sec_outstanding_6'!F32+NPS_OS_8!F32</f>
        <v>38.53</v>
      </c>
      <c r="M32" s="57">
        <v>5</v>
      </c>
      <c r="N32" s="57">
        <v>11.37</v>
      </c>
    </row>
    <row r="33" spans="1:16" ht="13" customHeight="1" x14ac:dyDescent="0.2">
      <c r="A33" s="105">
        <v>27</v>
      </c>
      <c r="B33" s="40" t="s">
        <v>188</v>
      </c>
      <c r="C33" s="57"/>
      <c r="D33" s="57"/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f>'Pri Sec_outstanding_6'!E33+NPS_OS_8!E33</f>
        <v>4</v>
      </c>
      <c r="L33" s="57">
        <f>'Pri Sec_outstanding_6'!F33+NPS_OS_8!F33</f>
        <v>8.18</v>
      </c>
      <c r="M33" s="57">
        <v>0</v>
      </c>
      <c r="N33" s="57">
        <v>0</v>
      </c>
    </row>
    <row r="34" spans="1:16" ht="13" customHeight="1" x14ac:dyDescent="0.2">
      <c r="A34" s="105">
        <v>28</v>
      </c>
      <c r="B34" s="40" t="s">
        <v>67</v>
      </c>
      <c r="C34" s="57"/>
      <c r="D34" s="57"/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f>'Pri Sec_outstanding_6'!E34+NPS_OS_8!E34</f>
        <v>0</v>
      </c>
      <c r="L34" s="57">
        <f>'Pri Sec_outstanding_6'!F34+NPS_OS_8!F34</f>
        <v>0</v>
      </c>
      <c r="M34" s="57">
        <v>0</v>
      </c>
      <c r="N34" s="57">
        <v>0</v>
      </c>
    </row>
    <row r="35" spans="1:16" ht="13" customHeight="1" x14ac:dyDescent="0.2">
      <c r="A35" s="105">
        <v>29</v>
      </c>
      <c r="B35" s="40" t="s">
        <v>189</v>
      </c>
      <c r="C35" s="57"/>
      <c r="D35" s="57"/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f>'Pri Sec_outstanding_6'!E35+NPS_OS_8!E35</f>
        <v>1</v>
      </c>
      <c r="L35" s="57">
        <f>'Pri Sec_outstanding_6'!F35+NPS_OS_8!F35</f>
        <v>1</v>
      </c>
      <c r="M35" s="57">
        <v>0</v>
      </c>
      <c r="N35" s="57">
        <v>0</v>
      </c>
    </row>
    <row r="36" spans="1:16" ht="13" customHeight="1" x14ac:dyDescent="0.2">
      <c r="A36" s="105">
        <v>30</v>
      </c>
      <c r="B36" s="40" t="s">
        <v>190</v>
      </c>
      <c r="C36" s="57"/>
      <c r="D36" s="57"/>
      <c r="E36" s="57">
        <v>10</v>
      </c>
      <c r="F36" s="57">
        <v>27</v>
      </c>
      <c r="G36" s="57">
        <v>10</v>
      </c>
      <c r="H36" s="57">
        <v>27</v>
      </c>
      <c r="I36" s="57">
        <v>0</v>
      </c>
      <c r="J36" s="57">
        <v>0</v>
      </c>
      <c r="K36" s="57">
        <f>'Pri Sec_outstanding_6'!E36+NPS_OS_8!E36</f>
        <v>317</v>
      </c>
      <c r="L36" s="57">
        <f>'Pri Sec_outstanding_6'!F36+NPS_OS_8!F36</f>
        <v>47</v>
      </c>
      <c r="M36" s="57">
        <v>317</v>
      </c>
      <c r="N36" s="57">
        <v>47</v>
      </c>
    </row>
    <row r="37" spans="1:16" ht="13" customHeight="1" x14ac:dyDescent="0.2">
      <c r="A37" s="105">
        <v>31</v>
      </c>
      <c r="B37" s="40" t="s">
        <v>191</v>
      </c>
      <c r="C37" s="57"/>
      <c r="D37" s="57"/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f>'Pri Sec_outstanding_6'!E37+NPS_OS_8!E37</f>
        <v>12</v>
      </c>
      <c r="L37" s="57">
        <f>'Pri Sec_outstanding_6'!F37+NPS_OS_8!F37</f>
        <v>39</v>
      </c>
      <c r="M37" s="57">
        <v>0</v>
      </c>
      <c r="N37" s="57">
        <v>0</v>
      </c>
    </row>
    <row r="38" spans="1:16" ht="13" customHeight="1" x14ac:dyDescent="0.2">
      <c r="A38" s="105">
        <v>32</v>
      </c>
      <c r="B38" s="40" t="s">
        <v>71</v>
      </c>
      <c r="C38" s="57"/>
      <c r="D38" s="57"/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f>'Pri Sec_outstanding_6'!E38+NPS_OS_8!E38</f>
        <v>0</v>
      </c>
      <c r="L38" s="57">
        <f>'Pri Sec_outstanding_6'!F38+NPS_OS_8!F38</f>
        <v>0</v>
      </c>
      <c r="M38" s="57">
        <v>0</v>
      </c>
      <c r="N38" s="57">
        <v>0</v>
      </c>
    </row>
    <row r="39" spans="1:16" ht="13" customHeight="1" x14ac:dyDescent="0.2">
      <c r="A39" s="105">
        <v>33</v>
      </c>
      <c r="B39" s="40" t="s">
        <v>192</v>
      </c>
      <c r="C39" s="57"/>
      <c r="D39" s="57"/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f>'Pri Sec_outstanding_6'!E39+NPS_OS_8!E39</f>
        <v>0</v>
      </c>
      <c r="L39" s="57">
        <f>'Pri Sec_outstanding_6'!F39+NPS_OS_8!F39</f>
        <v>0</v>
      </c>
      <c r="M39" s="57">
        <v>0</v>
      </c>
      <c r="N39" s="57">
        <v>0</v>
      </c>
    </row>
    <row r="40" spans="1:16" ht="13" customHeight="1" x14ac:dyDescent="0.2">
      <c r="A40" s="105">
        <v>34</v>
      </c>
      <c r="B40" s="40" t="s">
        <v>70</v>
      </c>
      <c r="C40" s="57"/>
      <c r="D40" s="57"/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f>'Pri Sec_outstanding_6'!E40+NPS_OS_8!E40</f>
        <v>0</v>
      </c>
      <c r="L40" s="57">
        <f>'Pri Sec_outstanding_6'!F40+NPS_OS_8!F40</f>
        <v>0</v>
      </c>
      <c r="M40" s="57">
        <v>0</v>
      </c>
      <c r="N40" s="57">
        <v>0</v>
      </c>
    </row>
    <row r="41" spans="1:16" s="69" customFormat="1" ht="13" customHeight="1" x14ac:dyDescent="0.2">
      <c r="A41" s="293"/>
      <c r="B41" s="42" t="s">
        <v>213</v>
      </c>
      <c r="C41" s="68"/>
      <c r="D41" s="68"/>
      <c r="E41" s="68">
        <f t="shared" ref="E41:N41" si="1">SUM(E19:E40)</f>
        <v>198</v>
      </c>
      <c r="F41" s="68">
        <f t="shared" si="1"/>
        <v>1135.98</v>
      </c>
      <c r="G41" s="68">
        <f t="shared" si="1"/>
        <v>70</v>
      </c>
      <c r="H41" s="68">
        <f t="shared" si="1"/>
        <v>380.54999999999995</v>
      </c>
      <c r="I41" s="68">
        <f t="shared" si="1"/>
        <v>0</v>
      </c>
      <c r="J41" s="68">
        <f t="shared" si="1"/>
        <v>0</v>
      </c>
      <c r="K41" s="68">
        <f t="shared" si="1"/>
        <v>3997</v>
      </c>
      <c r="L41" s="68">
        <f t="shared" si="1"/>
        <v>15616.150000000001</v>
      </c>
      <c r="M41" s="68">
        <f t="shared" si="1"/>
        <v>1080</v>
      </c>
      <c r="N41" s="68">
        <f t="shared" si="1"/>
        <v>4202.88</v>
      </c>
      <c r="O41" s="356"/>
      <c r="P41" s="356"/>
    </row>
    <row r="42" spans="1:16" s="69" customFormat="1" ht="13" customHeight="1" x14ac:dyDescent="0.2">
      <c r="A42" s="293"/>
      <c r="B42" s="42" t="s">
        <v>311</v>
      </c>
      <c r="C42" s="68"/>
      <c r="D42" s="68"/>
      <c r="E42" s="68">
        <f t="shared" ref="E42:N42" si="2">E41+E18</f>
        <v>1368</v>
      </c>
      <c r="F42" s="68">
        <f t="shared" si="2"/>
        <v>6975.5599999999995</v>
      </c>
      <c r="G42" s="68">
        <f t="shared" si="2"/>
        <v>347</v>
      </c>
      <c r="H42" s="68">
        <f t="shared" si="2"/>
        <v>2471.9499999999998</v>
      </c>
      <c r="I42" s="68">
        <f t="shared" si="2"/>
        <v>0</v>
      </c>
      <c r="J42" s="68">
        <f t="shared" si="2"/>
        <v>0</v>
      </c>
      <c r="K42" s="68">
        <f t="shared" si="2"/>
        <v>74538</v>
      </c>
      <c r="L42" s="68">
        <f t="shared" si="2"/>
        <v>274432.90000000002</v>
      </c>
      <c r="M42" s="68">
        <f t="shared" si="2"/>
        <v>22016</v>
      </c>
      <c r="N42" s="68">
        <f t="shared" si="2"/>
        <v>86630.49</v>
      </c>
      <c r="O42" s="356"/>
      <c r="P42" s="356"/>
    </row>
    <row r="43" spans="1:16" ht="13" customHeight="1" x14ac:dyDescent="0.2">
      <c r="A43" s="105">
        <v>35</v>
      </c>
      <c r="B43" s="40" t="s">
        <v>193</v>
      </c>
      <c r="C43" s="57"/>
      <c r="D43" s="57"/>
      <c r="E43" s="57">
        <v>3</v>
      </c>
      <c r="F43" s="57">
        <v>8</v>
      </c>
      <c r="G43" s="57">
        <v>2</v>
      </c>
      <c r="H43" s="57">
        <v>6</v>
      </c>
      <c r="I43" s="57">
        <v>0</v>
      </c>
      <c r="J43" s="57">
        <v>0</v>
      </c>
      <c r="K43" s="57">
        <f>'Pri Sec_outstanding_6'!E43+NPS_OS_8!E43</f>
        <v>354</v>
      </c>
      <c r="L43" s="57">
        <f>'Pri Sec_outstanding_6'!F43+NPS_OS_8!F43</f>
        <v>720</v>
      </c>
      <c r="M43" s="57">
        <v>106</v>
      </c>
      <c r="N43" s="57">
        <v>216</v>
      </c>
    </row>
    <row r="44" spans="1:16" ht="13" customHeight="1" x14ac:dyDescent="0.2">
      <c r="A44" s="105">
        <v>36</v>
      </c>
      <c r="B44" s="40" t="s">
        <v>382</v>
      </c>
      <c r="C44" s="57"/>
      <c r="D44" s="57"/>
      <c r="E44" s="57">
        <v>20</v>
      </c>
      <c r="F44" s="57">
        <v>214.15</v>
      </c>
      <c r="G44" s="57">
        <v>11</v>
      </c>
      <c r="H44" s="57">
        <v>119.71</v>
      </c>
      <c r="I44" s="57">
        <v>0</v>
      </c>
      <c r="J44" s="57">
        <v>0</v>
      </c>
      <c r="K44" s="57">
        <f>'Pri Sec_outstanding_6'!E44+NPS_OS_8!E44</f>
        <v>2984</v>
      </c>
      <c r="L44" s="57">
        <f>'Pri Sec_outstanding_6'!F44+NPS_OS_8!F44</f>
        <v>6981.48</v>
      </c>
      <c r="M44" s="57">
        <v>1007</v>
      </c>
      <c r="N44" s="57">
        <v>2393.1</v>
      </c>
    </row>
    <row r="45" spans="1:16" s="69" customFormat="1" ht="13" customHeight="1" x14ac:dyDescent="0.2">
      <c r="A45" s="293"/>
      <c r="B45" s="42" t="s">
        <v>216</v>
      </c>
      <c r="C45" s="68"/>
      <c r="D45" s="68"/>
      <c r="E45" s="68">
        <f t="shared" ref="E45:N45" si="3">E44+E43</f>
        <v>23</v>
      </c>
      <c r="F45" s="68">
        <f t="shared" si="3"/>
        <v>222.15</v>
      </c>
      <c r="G45" s="68">
        <f t="shared" si="3"/>
        <v>13</v>
      </c>
      <c r="H45" s="68">
        <f t="shared" si="3"/>
        <v>125.71</v>
      </c>
      <c r="I45" s="68">
        <f t="shared" si="3"/>
        <v>0</v>
      </c>
      <c r="J45" s="68">
        <f t="shared" si="3"/>
        <v>0</v>
      </c>
      <c r="K45" s="68">
        <f t="shared" si="3"/>
        <v>3338</v>
      </c>
      <c r="L45" s="68">
        <f t="shared" si="3"/>
        <v>7701.48</v>
      </c>
      <c r="M45" s="68">
        <f t="shared" si="3"/>
        <v>1113</v>
      </c>
      <c r="N45" s="68">
        <f t="shared" si="3"/>
        <v>2609.1</v>
      </c>
      <c r="O45" s="356"/>
      <c r="P45" s="356"/>
    </row>
    <row r="46" spans="1:16" ht="13" customHeight="1" x14ac:dyDescent="0.2">
      <c r="A46" s="105">
        <v>37</v>
      </c>
      <c r="B46" s="40" t="s">
        <v>312</v>
      </c>
      <c r="C46" s="57"/>
      <c r="D46" s="57"/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f>'Pri Sec_outstanding_6'!E46+NPS_OS_8!E46</f>
        <v>62</v>
      </c>
      <c r="L46" s="57">
        <f>'Pri Sec_outstanding_6'!F46+NPS_OS_8!F46</f>
        <v>187</v>
      </c>
      <c r="M46" s="57">
        <v>0</v>
      </c>
      <c r="N46" s="57">
        <v>0</v>
      </c>
    </row>
    <row r="47" spans="1:16" s="69" customFormat="1" ht="13" customHeight="1" x14ac:dyDescent="0.2">
      <c r="A47" s="293"/>
      <c r="B47" s="42" t="s">
        <v>214</v>
      </c>
      <c r="C47" s="68"/>
      <c r="D47" s="68"/>
      <c r="E47" s="68">
        <f t="shared" ref="E47:N47" si="4">E46</f>
        <v>0</v>
      </c>
      <c r="F47" s="68">
        <f t="shared" si="4"/>
        <v>0</v>
      </c>
      <c r="G47" s="68">
        <f t="shared" si="4"/>
        <v>0</v>
      </c>
      <c r="H47" s="68">
        <f t="shared" si="4"/>
        <v>0</v>
      </c>
      <c r="I47" s="68">
        <f t="shared" si="4"/>
        <v>0</v>
      </c>
      <c r="J47" s="68">
        <f t="shared" si="4"/>
        <v>0</v>
      </c>
      <c r="K47" s="68">
        <f t="shared" si="4"/>
        <v>62</v>
      </c>
      <c r="L47" s="68">
        <f t="shared" si="4"/>
        <v>187</v>
      </c>
      <c r="M47" s="68">
        <f t="shared" si="4"/>
        <v>0</v>
      </c>
      <c r="N47" s="68">
        <f t="shared" si="4"/>
        <v>0</v>
      </c>
      <c r="O47" s="356"/>
      <c r="P47" s="356"/>
    </row>
    <row r="48" spans="1:16" s="69" customFormat="1" ht="12.75" customHeight="1" x14ac:dyDescent="0.2">
      <c r="A48" s="105">
        <v>38</v>
      </c>
      <c r="B48" s="40" t="s">
        <v>304</v>
      </c>
      <c r="C48" s="57"/>
      <c r="D48" s="57"/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f>'Pri Sec_outstanding_6'!E48+NPS_OS_8!E48</f>
        <v>0</v>
      </c>
      <c r="L48" s="57">
        <f>'Pri Sec_outstanding_6'!F48+NPS_OS_8!F48</f>
        <v>0</v>
      </c>
      <c r="M48" s="57">
        <v>0</v>
      </c>
      <c r="N48" s="57">
        <v>0</v>
      </c>
      <c r="O48" s="356"/>
      <c r="P48" s="356"/>
    </row>
    <row r="49" spans="1:16" ht="13" customHeight="1" x14ac:dyDescent="0.15">
      <c r="A49" s="105">
        <v>39</v>
      </c>
      <c r="B49" s="40" t="s">
        <v>305</v>
      </c>
      <c r="C49" s="57"/>
      <c r="D49" s="57"/>
      <c r="E49" s="57">
        <v>0</v>
      </c>
      <c r="F49" s="290">
        <v>0</v>
      </c>
      <c r="G49" s="57">
        <v>0</v>
      </c>
      <c r="H49" s="290">
        <v>0</v>
      </c>
      <c r="I49" s="57">
        <v>0</v>
      </c>
      <c r="J49" s="57">
        <v>0</v>
      </c>
      <c r="K49" s="57">
        <f>'Pri Sec_outstanding_6'!E49+NPS_OS_8!E49</f>
        <v>0</v>
      </c>
      <c r="L49" s="57">
        <f>'Pri Sec_outstanding_6'!F49+NPS_OS_8!F49</f>
        <v>0</v>
      </c>
      <c r="M49" s="57">
        <v>0</v>
      </c>
      <c r="N49" s="57">
        <v>0</v>
      </c>
    </row>
    <row r="50" spans="1:16" ht="13" customHeight="1" x14ac:dyDescent="0.15">
      <c r="A50" s="105">
        <v>40</v>
      </c>
      <c r="B50" s="40" t="s">
        <v>383</v>
      </c>
      <c r="C50" s="57"/>
      <c r="D50" s="57"/>
      <c r="E50" s="57">
        <v>11</v>
      </c>
      <c r="F50" s="290">
        <v>2.6</v>
      </c>
      <c r="G50" s="57">
        <v>11</v>
      </c>
      <c r="H50" s="290">
        <v>2.6</v>
      </c>
      <c r="I50" s="57">
        <v>0</v>
      </c>
      <c r="J50" s="57">
        <v>0</v>
      </c>
      <c r="K50" s="57">
        <f>'Pri Sec_outstanding_6'!E50+NPS_OS_8!E50</f>
        <v>96</v>
      </c>
      <c r="L50" s="57">
        <f>'Pri Sec_outstanding_6'!F50+NPS_OS_8!F50</f>
        <v>20.329999999999998</v>
      </c>
      <c r="M50" s="57">
        <v>96</v>
      </c>
      <c r="N50" s="57">
        <v>20.329999999999998</v>
      </c>
    </row>
    <row r="51" spans="1:16" s="69" customFormat="1" ht="13" customHeight="1" x14ac:dyDescent="0.2">
      <c r="A51" s="105">
        <v>41</v>
      </c>
      <c r="B51" s="40" t="s">
        <v>306</v>
      </c>
      <c r="C51" s="57"/>
      <c r="D51" s="57"/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f>'Pri Sec_outstanding_6'!E51+NPS_OS_8!E51</f>
        <v>0</v>
      </c>
      <c r="L51" s="57">
        <f>'Pri Sec_outstanding_6'!F51+NPS_OS_8!F51</f>
        <v>0</v>
      </c>
      <c r="M51" s="57">
        <v>0</v>
      </c>
      <c r="N51" s="57">
        <v>0</v>
      </c>
      <c r="O51" s="356"/>
      <c r="P51" s="356"/>
    </row>
    <row r="52" spans="1:16" ht="13" customHeight="1" x14ac:dyDescent="0.2">
      <c r="A52" s="105">
        <v>42</v>
      </c>
      <c r="B52" s="40" t="s">
        <v>307</v>
      </c>
      <c r="C52" s="57"/>
      <c r="D52" s="57"/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f>'Pri Sec_outstanding_6'!E52+NPS_OS_8!E52</f>
        <v>0</v>
      </c>
      <c r="L52" s="57">
        <f>'Pri Sec_outstanding_6'!F52+NPS_OS_8!F52</f>
        <v>0</v>
      </c>
      <c r="M52" s="57">
        <v>0</v>
      </c>
      <c r="N52" s="57">
        <v>0</v>
      </c>
    </row>
    <row r="53" spans="1:16" s="69" customFormat="1" ht="13" customHeight="1" x14ac:dyDescent="0.2">
      <c r="A53" s="105">
        <v>43</v>
      </c>
      <c r="B53" s="40" t="s">
        <v>308</v>
      </c>
      <c r="C53" s="57"/>
      <c r="D53" s="57"/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f>'Pri Sec_outstanding_6'!E53+NPS_OS_8!E53</f>
        <v>0</v>
      </c>
      <c r="L53" s="57">
        <f>'Pri Sec_outstanding_6'!F53+NPS_OS_8!F53</f>
        <v>0</v>
      </c>
      <c r="M53" s="57">
        <v>0</v>
      </c>
      <c r="N53" s="57">
        <v>0</v>
      </c>
      <c r="O53" s="356"/>
      <c r="P53" s="356"/>
    </row>
    <row r="54" spans="1:16" ht="13" customHeight="1" x14ac:dyDescent="0.2">
      <c r="A54" s="105">
        <v>44</v>
      </c>
      <c r="B54" s="40" t="s">
        <v>300</v>
      </c>
      <c r="C54" s="57"/>
      <c r="D54" s="57"/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f>'Pri Sec_outstanding_6'!E54+NPS_OS_8!E54</f>
        <v>0</v>
      </c>
      <c r="L54" s="57">
        <f>'Pri Sec_outstanding_6'!F54+NPS_OS_8!F54</f>
        <v>0</v>
      </c>
      <c r="M54" s="57">
        <v>0</v>
      </c>
      <c r="N54" s="57">
        <v>0</v>
      </c>
    </row>
    <row r="55" spans="1:16" ht="13" customHeight="1" x14ac:dyDescent="0.2">
      <c r="A55" s="105">
        <v>45</v>
      </c>
      <c r="B55" s="40" t="s">
        <v>309</v>
      </c>
      <c r="C55" s="57"/>
      <c r="D55" s="57"/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f>'Pri Sec_outstanding_6'!E55+NPS_OS_8!E55</f>
        <v>0</v>
      </c>
      <c r="L55" s="57">
        <f>'Pri Sec_outstanding_6'!F55+NPS_OS_8!F55</f>
        <v>0</v>
      </c>
      <c r="M55" s="57">
        <v>0</v>
      </c>
      <c r="N55" s="57">
        <v>0</v>
      </c>
    </row>
    <row r="56" spans="1:16" s="69" customFormat="1" ht="13" customHeight="1" x14ac:dyDescent="0.2">
      <c r="A56" s="293"/>
      <c r="B56" s="42" t="s">
        <v>310</v>
      </c>
      <c r="C56" s="68"/>
      <c r="D56" s="68"/>
      <c r="E56" s="68">
        <f t="shared" ref="E56:N56" si="5">SUM(E48:E55)</f>
        <v>11</v>
      </c>
      <c r="F56" s="68">
        <f t="shared" si="5"/>
        <v>2.6</v>
      </c>
      <c r="G56" s="68">
        <f t="shared" si="5"/>
        <v>11</v>
      </c>
      <c r="H56" s="68">
        <f t="shared" si="5"/>
        <v>2.6</v>
      </c>
      <c r="I56" s="68">
        <f t="shared" si="5"/>
        <v>0</v>
      </c>
      <c r="J56" s="68">
        <f t="shared" si="5"/>
        <v>0</v>
      </c>
      <c r="K56" s="68">
        <f t="shared" si="5"/>
        <v>96</v>
      </c>
      <c r="L56" s="68">
        <f t="shared" si="5"/>
        <v>20.329999999999998</v>
      </c>
      <c r="M56" s="68">
        <f t="shared" si="5"/>
        <v>96</v>
      </c>
      <c r="N56" s="68">
        <f t="shared" si="5"/>
        <v>20.329999999999998</v>
      </c>
      <c r="O56" s="356"/>
      <c r="P56" s="356"/>
    </row>
    <row r="57" spans="1:16" s="69" customFormat="1" ht="13" customHeight="1" x14ac:dyDescent="0.2">
      <c r="A57" s="68"/>
      <c r="B57" s="68" t="s">
        <v>0</v>
      </c>
      <c r="C57" s="68"/>
      <c r="D57" s="68"/>
      <c r="E57" s="68">
        <f t="shared" ref="E57:N57" si="6">E56+E47+E45+E42</f>
        <v>1402</v>
      </c>
      <c r="F57" s="68">
        <f t="shared" si="6"/>
        <v>7200.3099999999995</v>
      </c>
      <c r="G57" s="68">
        <f t="shared" si="6"/>
        <v>371</v>
      </c>
      <c r="H57" s="68">
        <f t="shared" si="6"/>
        <v>2600.2599999999998</v>
      </c>
      <c r="I57" s="68">
        <f t="shared" si="6"/>
        <v>0</v>
      </c>
      <c r="J57" s="68">
        <f t="shared" si="6"/>
        <v>0</v>
      </c>
      <c r="K57" s="68">
        <f t="shared" si="6"/>
        <v>78034</v>
      </c>
      <c r="L57" s="68">
        <f t="shared" si="6"/>
        <v>282341.71000000002</v>
      </c>
      <c r="M57" s="68">
        <f t="shared" si="6"/>
        <v>23225</v>
      </c>
      <c r="N57" s="68">
        <f t="shared" si="6"/>
        <v>89259.92</v>
      </c>
      <c r="O57" s="356"/>
      <c r="P57" s="356"/>
    </row>
    <row r="58" spans="1:16" ht="14" x14ac:dyDescent="0.2">
      <c r="F58" s="74" t="s">
        <v>1088</v>
      </c>
    </row>
  </sheetData>
  <mergeCells count="15">
    <mergeCell ref="C4:D4"/>
    <mergeCell ref="M4:N4"/>
    <mergeCell ref="E3:F3"/>
    <mergeCell ref="G3:H3"/>
    <mergeCell ref="I3:J3"/>
    <mergeCell ref="E4:F4"/>
    <mergeCell ref="G4:H4"/>
    <mergeCell ref="I4:J4"/>
    <mergeCell ref="K4:L4"/>
    <mergeCell ref="A1:N1"/>
    <mergeCell ref="B2:C2"/>
    <mergeCell ref="K2:L2"/>
    <mergeCell ref="M3:N3"/>
    <mergeCell ref="C3:D3"/>
    <mergeCell ref="K3:L3"/>
  </mergeCells>
  <conditionalFormatting sqref="O1:O1048576 P6:P58">
    <cfRule type="cellIs" dxfId="12" priority="2" operator="greaterThan">
      <formula>100</formula>
    </cfRule>
  </conditionalFormatting>
  <conditionalFormatting sqref="O1:P1048576">
    <cfRule type="cellIs" dxfId="11" priority="1" operator="greaterThan">
      <formula>100</formula>
    </cfRule>
  </conditionalFormatting>
  <pageMargins left="0.95" right="0" top="0.75" bottom="0" header="0.3" footer="0.3"/>
  <pageSetup paperSize="9" scale="8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00000"/>
  </sheetPr>
  <dimension ref="A1:L60"/>
  <sheetViews>
    <sheetView zoomScaleNormal="100" workbookViewId="0">
      <pane xSplit="2" ySplit="4" topLeftCell="C40" activePane="bottomRight" state="frozen"/>
      <selection pane="topRight" activeCell="C1" sqref="C1"/>
      <selection pane="bottomLeft" activeCell="A6" sqref="A6"/>
      <selection pane="bottomRight" activeCell="H67" sqref="H67"/>
    </sheetView>
  </sheetViews>
  <sheetFormatPr baseColWidth="10" defaultColWidth="9.19921875" defaultRowHeight="15" customHeight="1" x14ac:dyDescent="0.2"/>
  <cols>
    <col min="1" max="1" width="6" style="26" customWidth="1"/>
    <col min="2" max="2" width="22.19921875" style="23" customWidth="1"/>
    <col min="3" max="3" width="9.796875" style="27" bestFit="1" customWidth="1"/>
    <col min="4" max="4" width="8.59765625" style="27" bestFit="1" customWidth="1"/>
    <col min="5" max="5" width="10.19921875" style="27" bestFit="1" customWidth="1"/>
    <col min="6" max="6" width="9.19921875" style="27" bestFit="1" customWidth="1"/>
    <col min="7" max="7" width="10.19921875" style="23" bestFit="1" customWidth="1"/>
    <col min="8" max="8" width="9.796875" style="27" customWidth="1"/>
    <col min="9" max="9" width="9.796875" style="23" bestFit="1" customWidth="1"/>
    <col min="10" max="10" width="9.19921875" style="27" bestFit="1" customWidth="1"/>
    <col min="11" max="11" width="11.59765625" style="346" bestFit="1" customWidth="1"/>
    <col min="12" max="12" width="9.19921875" style="346"/>
    <col min="13" max="16384" width="9.19921875" style="23"/>
  </cols>
  <sheetData>
    <row r="1" spans="1:12" ht="15" customHeight="1" x14ac:dyDescent="0.2">
      <c r="A1" s="458" t="s">
        <v>1038</v>
      </c>
      <c r="B1" s="458"/>
      <c r="C1" s="458"/>
      <c r="D1" s="458"/>
      <c r="E1" s="458"/>
      <c r="F1" s="458"/>
      <c r="G1" s="458"/>
      <c r="H1" s="458"/>
      <c r="I1" s="458"/>
      <c r="J1" s="458"/>
    </row>
    <row r="2" spans="1:12" ht="15" customHeight="1" x14ac:dyDescent="0.2">
      <c r="A2" s="24"/>
      <c r="B2" s="25" t="s">
        <v>11</v>
      </c>
      <c r="C2" s="38"/>
      <c r="D2" s="38"/>
      <c r="I2" s="467" t="s">
        <v>161</v>
      </c>
      <c r="J2" s="467"/>
    </row>
    <row r="3" spans="1:12" ht="15" customHeight="1" x14ac:dyDescent="0.2">
      <c r="A3" s="468" t="s">
        <v>156</v>
      </c>
      <c r="B3" s="470" t="s">
        <v>2</v>
      </c>
      <c r="C3" s="472" t="s">
        <v>1</v>
      </c>
      <c r="D3" s="474"/>
      <c r="E3" s="474"/>
      <c r="F3" s="473"/>
      <c r="G3" s="472" t="s">
        <v>207</v>
      </c>
      <c r="H3" s="474"/>
      <c r="I3" s="474"/>
      <c r="J3" s="473"/>
    </row>
    <row r="4" spans="1:12" ht="15" customHeight="1" x14ac:dyDescent="0.2">
      <c r="A4" s="469"/>
      <c r="B4" s="471"/>
      <c r="C4" s="472" t="s">
        <v>205</v>
      </c>
      <c r="D4" s="473"/>
      <c r="E4" s="455" t="s">
        <v>206</v>
      </c>
      <c r="F4" s="455"/>
      <c r="G4" s="472" t="s">
        <v>205</v>
      </c>
      <c r="H4" s="473"/>
      <c r="I4" s="455" t="s">
        <v>206</v>
      </c>
      <c r="J4" s="455"/>
    </row>
    <row r="5" spans="1:12" ht="15" customHeight="1" x14ac:dyDescent="0.2">
      <c r="A5" s="343"/>
      <c r="B5" s="344"/>
      <c r="C5" s="299" t="s">
        <v>27</v>
      </c>
      <c r="D5" s="301" t="s">
        <v>15</v>
      </c>
      <c r="E5" s="299" t="s">
        <v>27</v>
      </c>
      <c r="F5" s="299" t="s">
        <v>15</v>
      </c>
      <c r="G5" s="299" t="s">
        <v>27</v>
      </c>
      <c r="H5" s="301" t="s">
        <v>15</v>
      </c>
      <c r="I5" s="299" t="s">
        <v>27</v>
      </c>
      <c r="J5" s="299" t="s">
        <v>15</v>
      </c>
    </row>
    <row r="6" spans="1:12" ht="14" customHeight="1" x14ac:dyDescent="0.15">
      <c r="A6" s="105">
        <v>1</v>
      </c>
      <c r="B6" s="40" t="s">
        <v>51</v>
      </c>
      <c r="C6" s="281">
        <v>7875</v>
      </c>
      <c r="D6" s="281">
        <v>341</v>
      </c>
      <c r="E6" s="281">
        <v>3454</v>
      </c>
      <c r="F6" s="281">
        <v>3812</v>
      </c>
      <c r="G6" s="281">
        <v>286</v>
      </c>
      <c r="H6" s="281">
        <v>32</v>
      </c>
      <c r="I6" s="281">
        <v>33</v>
      </c>
      <c r="J6" s="281">
        <v>209</v>
      </c>
    </row>
    <row r="7" spans="1:12" ht="14" customHeight="1" x14ac:dyDescent="0.15">
      <c r="A7" s="105">
        <v>2</v>
      </c>
      <c r="B7" s="40" t="s">
        <v>52</v>
      </c>
      <c r="C7" s="281">
        <v>4340</v>
      </c>
      <c r="D7" s="281">
        <v>832</v>
      </c>
      <c r="E7" s="281">
        <v>14538</v>
      </c>
      <c r="F7" s="281">
        <v>18845</v>
      </c>
      <c r="G7" s="281">
        <v>334</v>
      </c>
      <c r="H7" s="281">
        <v>2.2999999999999998</v>
      </c>
      <c r="I7" s="281">
        <v>60</v>
      </c>
      <c r="J7" s="281">
        <v>76</v>
      </c>
    </row>
    <row r="8" spans="1:12" ht="14" customHeight="1" x14ac:dyDescent="0.15">
      <c r="A8" s="105">
        <v>3</v>
      </c>
      <c r="B8" s="40" t="s">
        <v>53</v>
      </c>
      <c r="C8" s="281">
        <v>264</v>
      </c>
      <c r="D8" s="281">
        <v>519</v>
      </c>
      <c r="E8" s="281">
        <v>1820</v>
      </c>
      <c r="F8" s="281">
        <v>1782</v>
      </c>
      <c r="G8" s="281">
        <v>1</v>
      </c>
      <c r="H8" s="281">
        <v>1</v>
      </c>
      <c r="I8" s="281">
        <v>5</v>
      </c>
      <c r="J8" s="281">
        <v>2.91</v>
      </c>
    </row>
    <row r="9" spans="1:12" ht="14" customHeight="1" x14ac:dyDescent="0.15">
      <c r="A9" s="105">
        <v>4</v>
      </c>
      <c r="B9" s="40" t="s">
        <v>54</v>
      </c>
      <c r="C9" s="281">
        <v>755</v>
      </c>
      <c r="D9" s="281">
        <v>19</v>
      </c>
      <c r="E9" s="281">
        <v>1145</v>
      </c>
      <c r="F9" s="281">
        <v>569</v>
      </c>
      <c r="G9" s="281">
        <v>56</v>
      </c>
      <c r="H9" s="281">
        <v>1.34</v>
      </c>
      <c r="I9" s="281">
        <v>82</v>
      </c>
      <c r="J9" s="281">
        <v>194</v>
      </c>
    </row>
    <row r="10" spans="1:12" ht="14" customHeight="1" x14ac:dyDescent="0.15">
      <c r="A10" s="105">
        <v>5</v>
      </c>
      <c r="B10" s="40" t="s">
        <v>55</v>
      </c>
      <c r="C10" s="281">
        <v>17604</v>
      </c>
      <c r="D10" s="281">
        <v>9957</v>
      </c>
      <c r="E10" s="281">
        <v>13783</v>
      </c>
      <c r="F10" s="281">
        <v>13904</v>
      </c>
      <c r="G10" s="281">
        <v>39</v>
      </c>
      <c r="H10" s="281">
        <v>42</v>
      </c>
      <c r="I10" s="281">
        <v>59</v>
      </c>
      <c r="J10" s="281">
        <v>67</v>
      </c>
    </row>
    <row r="11" spans="1:12" ht="14" customHeight="1" x14ac:dyDescent="0.15">
      <c r="A11" s="105">
        <v>6</v>
      </c>
      <c r="B11" s="40" t="s">
        <v>56</v>
      </c>
      <c r="C11" s="281">
        <v>17640</v>
      </c>
      <c r="D11" s="281">
        <v>1817</v>
      </c>
      <c r="E11" s="281">
        <v>2293</v>
      </c>
      <c r="F11" s="281">
        <v>2110</v>
      </c>
      <c r="G11" s="281">
        <v>85</v>
      </c>
      <c r="H11" s="281">
        <v>2</v>
      </c>
      <c r="I11" s="281">
        <v>21</v>
      </c>
      <c r="J11" s="281">
        <v>16</v>
      </c>
    </row>
    <row r="12" spans="1:12" s="27" customFormat="1" ht="14" customHeight="1" x14ac:dyDescent="0.15">
      <c r="A12" s="105">
        <v>7</v>
      </c>
      <c r="B12" s="40" t="s">
        <v>57</v>
      </c>
      <c r="C12" s="281">
        <v>42</v>
      </c>
      <c r="D12" s="281">
        <v>19</v>
      </c>
      <c r="E12" s="281">
        <v>37</v>
      </c>
      <c r="F12" s="281">
        <v>27.79</v>
      </c>
      <c r="G12" s="281">
        <v>2</v>
      </c>
      <c r="H12" s="281">
        <v>1</v>
      </c>
      <c r="I12" s="281">
        <v>3</v>
      </c>
      <c r="J12" s="281">
        <v>1.6</v>
      </c>
      <c r="K12" s="346"/>
      <c r="L12" s="346"/>
    </row>
    <row r="13" spans="1:12" ht="14" customHeight="1" x14ac:dyDescent="0.15">
      <c r="A13" s="105">
        <v>8</v>
      </c>
      <c r="B13" s="40" t="s">
        <v>178</v>
      </c>
      <c r="C13" s="281">
        <v>561</v>
      </c>
      <c r="D13" s="281">
        <v>82</v>
      </c>
      <c r="E13" s="281">
        <v>61</v>
      </c>
      <c r="F13" s="281">
        <v>167</v>
      </c>
      <c r="G13" s="281">
        <v>0</v>
      </c>
      <c r="H13" s="281">
        <v>0</v>
      </c>
      <c r="I13" s="281">
        <v>0</v>
      </c>
      <c r="J13" s="281">
        <v>0</v>
      </c>
    </row>
    <row r="14" spans="1:12" ht="14" customHeight="1" x14ac:dyDescent="0.15">
      <c r="A14" s="105">
        <v>9</v>
      </c>
      <c r="B14" s="40" t="s">
        <v>58</v>
      </c>
      <c r="C14" s="281">
        <v>18287</v>
      </c>
      <c r="D14" s="281">
        <v>4219.68</v>
      </c>
      <c r="E14" s="281">
        <v>4062</v>
      </c>
      <c r="F14" s="281">
        <v>3254.82</v>
      </c>
      <c r="G14" s="281">
        <v>144</v>
      </c>
      <c r="H14" s="281">
        <v>105.48</v>
      </c>
      <c r="I14" s="281">
        <v>70</v>
      </c>
      <c r="J14" s="281">
        <v>399</v>
      </c>
    </row>
    <row r="15" spans="1:12" ht="14" customHeight="1" x14ac:dyDescent="0.15">
      <c r="A15" s="105">
        <v>10</v>
      </c>
      <c r="B15" s="40" t="s">
        <v>64</v>
      </c>
      <c r="C15" s="281">
        <v>26339</v>
      </c>
      <c r="D15" s="281">
        <v>4295</v>
      </c>
      <c r="E15" s="281">
        <v>4602</v>
      </c>
      <c r="F15" s="281">
        <v>9148</v>
      </c>
      <c r="G15" s="281">
        <v>339</v>
      </c>
      <c r="H15" s="281">
        <v>295</v>
      </c>
      <c r="I15" s="281">
        <v>0</v>
      </c>
      <c r="J15" s="281">
        <v>0</v>
      </c>
    </row>
    <row r="16" spans="1:12" ht="14" customHeight="1" x14ac:dyDescent="0.15">
      <c r="A16" s="105">
        <v>11</v>
      </c>
      <c r="B16" s="40" t="s">
        <v>179</v>
      </c>
      <c r="C16" s="281">
        <v>25</v>
      </c>
      <c r="D16" s="281">
        <v>1</v>
      </c>
      <c r="E16" s="281">
        <v>385</v>
      </c>
      <c r="F16" s="281">
        <v>752</v>
      </c>
      <c r="G16" s="281">
        <v>25</v>
      </c>
      <c r="H16" s="281">
        <v>12</v>
      </c>
      <c r="I16" s="281">
        <v>0</v>
      </c>
      <c r="J16" s="281">
        <v>0</v>
      </c>
    </row>
    <row r="17" spans="1:12" ht="14" customHeight="1" x14ac:dyDescent="0.15">
      <c r="A17" s="105">
        <v>12</v>
      </c>
      <c r="B17" s="40" t="s">
        <v>60</v>
      </c>
      <c r="C17" s="281">
        <v>9649</v>
      </c>
      <c r="D17" s="281">
        <v>232</v>
      </c>
      <c r="E17" s="281">
        <v>6919</v>
      </c>
      <c r="F17" s="281">
        <v>4588</v>
      </c>
      <c r="G17" s="281">
        <v>0</v>
      </c>
      <c r="H17" s="281">
        <v>0</v>
      </c>
      <c r="I17" s="281">
        <v>17</v>
      </c>
      <c r="J17" s="281">
        <v>28</v>
      </c>
    </row>
    <row r="18" spans="1:12" s="37" customFormat="1" ht="14" customHeight="1" x14ac:dyDescent="0.15">
      <c r="A18" s="293"/>
      <c r="B18" s="42" t="s">
        <v>215</v>
      </c>
      <c r="C18" s="282">
        <f>SUM(C6:C17)</f>
        <v>103381</v>
      </c>
      <c r="D18" s="282">
        <f t="shared" ref="D18:J18" si="0">SUM(D6:D17)</f>
        <v>22333.68</v>
      </c>
      <c r="E18" s="282">
        <f t="shared" si="0"/>
        <v>53099</v>
      </c>
      <c r="F18" s="282">
        <f t="shared" si="0"/>
        <v>58959.61</v>
      </c>
      <c r="G18" s="282">
        <f t="shared" si="0"/>
        <v>1311</v>
      </c>
      <c r="H18" s="282">
        <f t="shared" si="0"/>
        <v>494.12</v>
      </c>
      <c r="I18" s="282">
        <f t="shared" si="0"/>
        <v>350</v>
      </c>
      <c r="J18" s="282">
        <f t="shared" si="0"/>
        <v>993.5100000000001</v>
      </c>
      <c r="K18" s="346"/>
      <c r="L18" s="346"/>
    </row>
    <row r="19" spans="1:12" ht="14" customHeight="1" x14ac:dyDescent="0.15">
      <c r="A19" s="105">
        <v>13</v>
      </c>
      <c r="B19" s="40" t="s">
        <v>41</v>
      </c>
      <c r="C19" s="281">
        <v>0</v>
      </c>
      <c r="D19" s="281">
        <v>0</v>
      </c>
      <c r="E19" s="281">
        <v>21</v>
      </c>
      <c r="F19" s="281">
        <v>35.44</v>
      </c>
      <c r="G19" s="281">
        <v>0</v>
      </c>
      <c r="H19" s="281">
        <v>0</v>
      </c>
      <c r="I19" s="281">
        <v>10</v>
      </c>
      <c r="J19" s="281">
        <v>12.43</v>
      </c>
    </row>
    <row r="20" spans="1:12" ht="14" customHeight="1" x14ac:dyDescent="0.15">
      <c r="A20" s="105">
        <v>14</v>
      </c>
      <c r="B20" s="40" t="s">
        <v>180</v>
      </c>
      <c r="C20" s="281">
        <v>0</v>
      </c>
      <c r="D20" s="281">
        <v>0</v>
      </c>
      <c r="E20" s="281">
        <v>0</v>
      </c>
      <c r="F20" s="281">
        <v>0</v>
      </c>
      <c r="G20" s="281">
        <v>0</v>
      </c>
      <c r="H20" s="281">
        <v>0</v>
      </c>
      <c r="I20" s="281">
        <v>0</v>
      </c>
      <c r="J20" s="281">
        <v>0</v>
      </c>
    </row>
    <row r="21" spans="1:12" ht="14" customHeight="1" x14ac:dyDescent="0.15">
      <c r="A21" s="105">
        <v>15</v>
      </c>
      <c r="B21" s="40" t="s">
        <v>181</v>
      </c>
      <c r="C21" s="281">
        <v>0</v>
      </c>
      <c r="D21" s="281">
        <v>0</v>
      </c>
      <c r="E21" s="281">
        <v>0</v>
      </c>
      <c r="F21" s="281">
        <v>0</v>
      </c>
      <c r="G21" s="281">
        <v>0</v>
      </c>
      <c r="H21" s="281">
        <v>0</v>
      </c>
      <c r="I21" s="281">
        <v>0</v>
      </c>
      <c r="J21" s="281">
        <v>0</v>
      </c>
    </row>
    <row r="22" spans="1:12" ht="14" customHeight="1" x14ac:dyDescent="0.15">
      <c r="A22" s="105">
        <v>16</v>
      </c>
      <c r="B22" s="40" t="s">
        <v>45</v>
      </c>
      <c r="C22" s="281">
        <v>0</v>
      </c>
      <c r="D22" s="281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  <c r="J22" s="281">
        <v>0</v>
      </c>
    </row>
    <row r="23" spans="1:12" ht="14" customHeight="1" x14ac:dyDescent="0.15">
      <c r="A23" s="105">
        <v>17</v>
      </c>
      <c r="B23" s="40" t="s">
        <v>182</v>
      </c>
      <c r="C23" s="281">
        <v>0</v>
      </c>
      <c r="D23" s="281">
        <v>0</v>
      </c>
      <c r="E23" s="281">
        <v>0</v>
      </c>
      <c r="F23" s="281">
        <v>0</v>
      </c>
      <c r="G23" s="281">
        <v>0</v>
      </c>
      <c r="H23" s="281">
        <v>0</v>
      </c>
      <c r="I23" s="281">
        <v>0</v>
      </c>
      <c r="J23" s="281">
        <v>0</v>
      </c>
    </row>
    <row r="24" spans="1:12" s="37" customFormat="1" ht="14" customHeight="1" x14ac:dyDescent="0.15">
      <c r="A24" s="105">
        <v>18</v>
      </c>
      <c r="B24" s="40" t="s">
        <v>183</v>
      </c>
      <c r="C24" s="281">
        <v>0</v>
      </c>
      <c r="D24" s="281">
        <v>0</v>
      </c>
      <c r="E24" s="281">
        <v>0</v>
      </c>
      <c r="F24" s="281">
        <v>0</v>
      </c>
      <c r="G24" s="281">
        <v>0</v>
      </c>
      <c r="H24" s="281">
        <v>0</v>
      </c>
      <c r="I24" s="281">
        <v>0</v>
      </c>
      <c r="J24" s="281">
        <v>0</v>
      </c>
      <c r="K24" s="346"/>
      <c r="L24" s="346"/>
    </row>
    <row r="25" spans="1:12" ht="14" customHeight="1" x14ac:dyDescent="0.15">
      <c r="A25" s="105">
        <v>19</v>
      </c>
      <c r="B25" s="40" t="s">
        <v>184</v>
      </c>
      <c r="C25" s="281">
        <v>0</v>
      </c>
      <c r="D25" s="281">
        <v>0</v>
      </c>
      <c r="E25" s="281">
        <v>0</v>
      </c>
      <c r="F25" s="281">
        <v>0</v>
      </c>
      <c r="G25" s="281">
        <v>0</v>
      </c>
      <c r="H25" s="281">
        <v>0</v>
      </c>
      <c r="I25" s="281">
        <v>0</v>
      </c>
      <c r="J25" s="281">
        <v>0</v>
      </c>
    </row>
    <row r="26" spans="1:12" ht="14" customHeight="1" x14ac:dyDescent="0.15">
      <c r="A26" s="105">
        <v>20</v>
      </c>
      <c r="B26" s="40" t="s">
        <v>65</v>
      </c>
      <c r="C26" s="281">
        <v>17</v>
      </c>
      <c r="D26" s="281">
        <v>1.99</v>
      </c>
      <c r="E26" s="281">
        <v>1272</v>
      </c>
      <c r="F26" s="281">
        <v>1935</v>
      </c>
      <c r="G26" s="281">
        <v>17</v>
      </c>
      <c r="H26" s="281">
        <v>1.99</v>
      </c>
      <c r="I26" s="281">
        <v>130</v>
      </c>
      <c r="J26" s="281">
        <v>223.15</v>
      </c>
    </row>
    <row r="27" spans="1:12" ht="14" customHeight="1" x14ac:dyDescent="0.15">
      <c r="A27" s="105">
        <v>21</v>
      </c>
      <c r="B27" s="40" t="s">
        <v>66</v>
      </c>
      <c r="C27" s="281">
        <v>5176</v>
      </c>
      <c r="D27" s="281">
        <v>4947</v>
      </c>
      <c r="E27" s="281">
        <v>5176</v>
      </c>
      <c r="F27" s="281">
        <v>4947</v>
      </c>
      <c r="G27" s="281">
        <v>334</v>
      </c>
      <c r="H27" s="281">
        <v>684</v>
      </c>
      <c r="I27" s="281">
        <v>334</v>
      </c>
      <c r="J27" s="281">
        <v>684</v>
      </c>
    </row>
    <row r="28" spans="1:12" ht="14" customHeight="1" x14ac:dyDescent="0.15">
      <c r="A28" s="105">
        <v>22</v>
      </c>
      <c r="B28" s="40" t="s">
        <v>75</v>
      </c>
      <c r="C28" s="281">
        <v>138</v>
      </c>
      <c r="D28" s="281">
        <v>0.05</v>
      </c>
      <c r="E28" s="281">
        <v>142</v>
      </c>
      <c r="F28" s="281">
        <v>271</v>
      </c>
      <c r="G28" s="281">
        <v>138</v>
      </c>
      <c r="H28" s="281">
        <v>0.05</v>
      </c>
      <c r="I28" s="281">
        <v>142</v>
      </c>
      <c r="J28" s="281">
        <v>271</v>
      </c>
    </row>
    <row r="29" spans="1:12" ht="14" customHeight="1" x14ac:dyDescent="0.15">
      <c r="A29" s="105">
        <v>23</v>
      </c>
      <c r="B29" s="40" t="s">
        <v>379</v>
      </c>
      <c r="C29" s="281">
        <v>0</v>
      </c>
      <c r="D29" s="281">
        <v>0</v>
      </c>
      <c r="E29" s="281">
        <v>0</v>
      </c>
      <c r="F29" s="281">
        <v>0</v>
      </c>
      <c r="G29" s="281">
        <v>0</v>
      </c>
      <c r="H29" s="281">
        <v>0</v>
      </c>
      <c r="I29" s="281">
        <v>0</v>
      </c>
      <c r="J29" s="281">
        <v>0</v>
      </c>
    </row>
    <row r="30" spans="1:12" ht="14" customHeight="1" x14ac:dyDescent="0.15">
      <c r="A30" s="105">
        <v>24</v>
      </c>
      <c r="B30" s="40" t="s">
        <v>185</v>
      </c>
      <c r="C30" s="281">
        <v>0</v>
      </c>
      <c r="D30" s="281">
        <v>0</v>
      </c>
      <c r="E30" s="281">
        <v>0</v>
      </c>
      <c r="F30" s="281">
        <v>0</v>
      </c>
      <c r="G30" s="281">
        <v>0</v>
      </c>
      <c r="H30" s="281">
        <v>0</v>
      </c>
      <c r="I30" s="281">
        <v>0</v>
      </c>
      <c r="J30" s="281">
        <v>0</v>
      </c>
    </row>
    <row r="31" spans="1:12" ht="14" customHeight="1" x14ac:dyDescent="0.15">
      <c r="A31" s="105">
        <v>25</v>
      </c>
      <c r="B31" s="40" t="s">
        <v>186</v>
      </c>
      <c r="C31" s="281">
        <v>0</v>
      </c>
      <c r="D31" s="281">
        <v>0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281">
        <v>0</v>
      </c>
    </row>
    <row r="32" spans="1:12" ht="14" customHeight="1" x14ac:dyDescent="0.15">
      <c r="A32" s="105">
        <v>26</v>
      </c>
      <c r="B32" s="40" t="s">
        <v>187</v>
      </c>
      <c r="C32" s="281">
        <v>0</v>
      </c>
      <c r="D32" s="281">
        <v>0</v>
      </c>
      <c r="E32" s="281">
        <v>0</v>
      </c>
      <c r="F32" s="281">
        <v>0</v>
      </c>
      <c r="G32" s="281">
        <v>0</v>
      </c>
      <c r="H32" s="281">
        <v>0</v>
      </c>
      <c r="I32" s="281">
        <v>0</v>
      </c>
      <c r="J32" s="281">
        <v>0</v>
      </c>
    </row>
    <row r="33" spans="1:12" ht="14" customHeight="1" x14ac:dyDescent="0.15">
      <c r="A33" s="105">
        <v>27</v>
      </c>
      <c r="B33" s="40" t="s">
        <v>188</v>
      </c>
      <c r="C33" s="281">
        <v>0</v>
      </c>
      <c r="D33" s="281">
        <v>0</v>
      </c>
      <c r="E33" s="281">
        <v>0</v>
      </c>
      <c r="F33" s="281">
        <v>0</v>
      </c>
      <c r="G33" s="281">
        <v>0</v>
      </c>
      <c r="H33" s="281">
        <v>0</v>
      </c>
      <c r="I33" s="281">
        <v>0</v>
      </c>
      <c r="J33" s="281">
        <v>0</v>
      </c>
    </row>
    <row r="34" spans="1:12" ht="14" customHeight="1" x14ac:dyDescent="0.15">
      <c r="A34" s="105">
        <v>28</v>
      </c>
      <c r="B34" s="40" t="s">
        <v>67</v>
      </c>
      <c r="C34" s="281">
        <v>0</v>
      </c>
      <c r="D34" s="281">
        <v>0</v>
      </c>
      <c r="E34" s="281">
        <v>0</v>
      </c>
      <c r="F34" s="281">
        <v>0</v>
      </c>
      <c r="G34" s="281">
        <v>0</v>
      </c>
      <c r="H34" s="281">
        <v>0</v>
      </c>
      <c r="I34" s="281">
        <v>0</v>
      </c>
      <c r="J34" s="281">
        <v>0</v>
      </c>
    </row>
    <row r="35" spans="1:12" ht="14" customHeight="1" x14ac:dyDescent="0.15">
      <c r="A35" s="105">
        <v>29</v>
      </c>
      <c r="B35" s="40" t="s">
        <v>189</v>
      </c>
      <c r="C35" s="281">
        <v>0</v>
      </c>
      <c r="D35" s="281">
        <v>0</v>
      </c>
      <c r="E35" s="281">
        <v>0</v>
      </c>
      <c r="F35" s="281">
        <v>0</v>
      </c>
      <c r="G35" s="281">
        <v>0</v>
      </c>
      <c r="H35" s="281">
        <v>0</v>
      </c>
      <c r="I35" s="281">
        <v>0</v>
      </c>
      <c r="J35" s="281">
        <v>0</v>
      </c>
    </row>
    <row r="36" spans="1:12" ht="14" customHeight="1" x14ac:dyDescent="0.15">
      <c r="A36" s="105">
        <v>30</v>
      </c>
      <c r="B36" s="40" t="s">
        <v>190</v>
      </c>
      <c r="C36" s="281">
        <v>0</v>
      </c>
      <c r="D36" s="281">
        <v>0</v>
      </c>
      <c r="E36" s="281">
        <v>0</v>
      </c>
      <c r="F36" s="281">
        <v>0</v>
      </c>
      <c r="G36" s="281">
        <v>0</v>
      </c>
      <c r="H36" s="281">
        <v>0</v>
      </c>
      <c r="I36" s="281">
        <v>0</v>
      </c>
      <c r="J36" s="281">
        <v>0</v>
      </c>
    </row>
    <row r="37" spans="1:12" ht="14" customHeight="1" x14ac:dyDescent="0.15">
      <c r="A37" s="105">
        <v>31</v>
      </c>
      <c r="B37" s="40" t="s">
        <v>191</v>
      </c>
      <c r="C37" s="281">
        <v>0</v>
      </c>
      <c r="D37" s="281">
        <v>0</v>
      </c>
      <c r="E37" s="281">
        <v>0</v>
      </c>
      <c r="F37" s="281">
        <v>0</v>
      </c>
      <c r="G37" s="281">
        <v>0</v>
      </c>
      <c r="H37" s="281">
        <v>0</v>
      </c>
      <c r="I37" s="281">
        <v>0</v>
      </c>
      <c r="J37" s="281">
        <v>0</v>
      </c>
    </row>
    <row r="38" spans="1:12" ht="14" customHeight="1" x14ac:dyDescent="0.15">
      <c r="A38" s="105">
        <v>32</v>
      </c>
      <c r="B38" s="40" t="s">
        <v>71</v>
      </c>
      <c r="C38" s="281">
        <v>0</v>
      </c>
      <c r="D38" s="281">
        <v>0</v>
      </c>
      <c r="E38" s="281">
        <v>0</v>
      </c>
      <c r="F38" s="281">
        <v>0</v>
      </c>
      <c r="G38" s="281">
        <v>0</v>
      </c>
      <c r="H38" s="281">
        <v>0</v>
      </c>
      <c r="I38" s="281">
        <v>0</v>
      </c>
      <c r="J38" s="281">
        <v>0</v>
      </c>
    </row>
    <row r="39" spans="1:12" ht="14" customHeight="1" x14ac:dyDescent="0.15">
      <c r="A39" s="105">
        <v>33</v>
      </c>
      <c r="B39" s="40" t="s">
        <v>192</v>
      </c>
      <c r="C39" s="281">
        <v>0</v>
      </c>
      <c r="D39" s="281">
        <v>0</v>
      </c>
      <c r="E39" s="281">
        <v>0</v>
      </c>
      <c r="F39" s="281">
        <v>0</v>
      </c>
      <c r="G39" s="281">
        <v>0</v>
      </c>
      <c r="H39" s="281">
        <v>0</v>
      </c>
      <c r="I39" s="281">
        <v>0</v>
      </c>
      <c r="J39" s="281">
        <v>0</v>
      </c>
    </row>
    <row r="40" spans="1:12" ht="14" customHeight="1" x14ac:dyDescent="0.15">
      <c r="A40" s="105">
        <v>34</v>
      </c>
      <c r="B40" s="40" t="s">
        <v>70</v>
      </c>
      <c r="C40" s="281">
        <v>0</v>
      </c>
      <c r="D40" s="281">
        <v>0</v>
      </c>
      <c r="E40" s="281">
        <v>0</v>
      </c>
      <c r="F40" s="281">
        <v>0</v>
      </c>
      <c r="G40" s="281">
        <v>0</v>
      </c>
      <c r="H40" s="281">
        <v>0</v>
      </c>
      <c r="I40" s="281">
        <v>0</v>
      </c>
      <c r="J40" s="281">
        <v>0</v>
      </c>
    </row>
    <row r="41" spans="1:12" s="37" customFormat="1" ht="14" customHeight="1" x14ac:dyDescent="0.15">
      <c r="A41" s="293"/>
      <c r="B41" s="42" t="s">
        <v>213</v>
      </c>
      <c r="C41" s="282">
        <f>SUM(C19:C40)</f>
        <v>5331</v>
      </c>
      <c r="D41" s="282">
        <f t="shared" ref="D41:J41" si="1">SUM(D19:D40)</f>
        <v>4949.04</v>
      </c>
      <c r="E41" s="282">
        <f t="shared" si="1"/>
        <v>6611</v>
      </c>
      <c r="F41" s="282">
        <f t="shared" si="1"/>
        <v>7188.4400000000005</v>
      </c>
      <c r="G41" s="282">
        <f t="shared" si="1"/>
        <v>489</v>
      </c>
      <c r="H41" s="282">
        <f t="shared" si="1"/>
        <v>686.04</v>
      </c>
      <c r="I41" s="282">
        <f t="shared" si="1"/>
        <v>616</v>
      </c>
      <c r="J41" s="282">
        <f t="shared" si="1"/>
        <v>1190.58</v>
      </c>
      <c r="K41" s="346"/>
      <c r="L41" s="346"/>
    </row>
    <row r="42" spans="1:12" s="37" customFormat="1" ht="14" customHeight="1" x14ac:dyDescent="0.2">
      <c r="A42" s="293"/>
      <c r="B42" s="42" t="s">
        <v>311</v>
      </c>
      <c r="C42" s="108">
        <f>C41+C18</f>
        <v>108712</v>
      </c>
      <c r="D42" s="108">
        <f t="shared" ref="D42:J42" si="2">D41+D18</f>
        <v>27282.720000000001</v>
      </c>
      <c r="E42" s="108">
        <f t="shared" si="2"/>
        <v>59710</v>
      </c>
      <c r="F42" s="108">
        <f t="shared" si="2"/>
        <v>66148.05</v>
      </c>
      <c r="G42" s="108">
        <f t="shared" si="2"/>
        <v>1800</v>
      </c>
      <c r="H42" s="108">
        <f t="shared" si="2"/>
        <v>1180.1599999999999</v>
      </c>
      <c r="I42" s="108">
        <f t="shared" si="2"/>
        <v>966</v>
      </c>
      <c r="J42" s="108">
        <f t="shared" si="2"/>
        <v>2184.09</v>
      </c>
      <c r="K42" s="346"/>
      <c r="L42" s="346"/>
    </row>
    <row r="43" spans="1:12" ht="14" customHeight="1" x14ac:dyDescent="0.15">
      <c r="A43" s="105">
        <v>35</v>
      </c>
      <c r="B43" s="40" t="s">
        <v>193</v>
      </c>
      <c r="C43" s="281">
        <v>49106</v>
      </c>
      <c r="D43" s="281">
        <v>6830</v>
      </c>
      <c r="E43" s="281">
        <v>34971</v>
      </c>
      <c r="F43" s="281">
        <v>15377</v>
      </c>
      <c r="G43" s="281">
        <v>277</v>
      </c>
      <c r="H43" s="281">
        <v>47</v>
      </c>
      <c r="I43" s="281">
        <v>1096</v>
      </c>
      <c r="J43" s="281">
        <v>522</v>
      </c>
    </row>
    <row r="44" spans="1:12" ht="14" customHeight="1" x14ac:dyDescent="0.15">
      <c r="A44" s="105">
        <v>36</v>
      </c>
      <c r="B44" s="40" t="s">
        <v>382</v>
      </c>
      <c r="C44" s="281">
        <v>147794</v>
      </c>
      <c r="D44" s="281">
        <v>35863.47</v>
      </c>
      <c r="E44" s="281">
        <v>47004</v>
      </c>
      <c r="F44" s="281">
        <v>38767.629999999997</v>
      </c>
      <c r="G44" s="281">
        <v>1476</v>
      </c>
      <c r="H44" s="281">
        <v>1293.52</v>
      </c>
      <c r="I44" s="281">
        <v>3086</v>
      </c>
      <c r="J44" s="281">
        <v>8731.6</v>
      </c>
    </row>
    <row r="45" spans="1:12" s="37" customFormat="1" ht="14" customHeight="1" x14ac:dyDescent="0.15">
      <c r="A45" s="293"/>
      <c r="B45" s="42" t="s">
        <v>216</v>
      </c>
      <c r="C45" s="282">
        <f>SUM(C43:C44)</f>
        <v>196900</v>
      </c>
      <c r="D45" s="282">
        <f t="shared" ref="D45:J45" si="3">SUM(D43:D44)</f>
        <v>42693.47</v>
      </c>
      <c r="E45" s="282">
        <f t="shared" si="3"/>
        <v>81975</v>
      </c>
      <c r="F45" s="282">
        <f t="shared" si="3"/>
        <v>54144.63</v>
      </c>
      <c r="G45" s="282">
        <f t="shared" si="3"/>
        <v>1753</v>
      </c>
      <c r="H45" s="282">
        <f t="shared" si="3"/>
        <v>1340.52</v>
      </c>
      <c r="I45" s="282">
        <f t="shared" si="3"/>
        <v>4182</v>
      </c>
      <c r="J45" s="282">
        <f t="shared" si="3"/>
        <v>9253.6</v>
      </c>
      <c r="K45" s="346"/>
      <c r="L45" s="346"/>
    </row>
    <row r="46" spans="1:12" ht="14" customHeight="1" x14ac:dyDescent="0.15">
      <c r="A46" s="105">
        <v>37</v>
      </c>
      <c r="B46" s="40" t="s">
        <v>312</v>
      </c>
      <c r="C46" s="281">
        <v>23325</v>
      </c>
      <c r="D46" s="281">
        <v>3042</v>
      </c>
      <c r="E46" s="281">
        <v>6737</v>
      </c>
      <c r="F46" s="281">
        <v>9124</v>
      </c>
      <c r="G46" s="281">
        <v>133</v>
      </c>
      <c r="H46" s="281">
        <v>8</v>
      </c>
      <c r="I46" s="281">
        <v>11</v>
      </c>
      <c r="J46" s="281">
        <v>1</v>
      </c>
    </row>
    <row r="47" spans="1:12" s="37" customFormat="1" ht="14" customHeight="1" x14ac:dyDescent="0.15">
      <c r="A47" s="293"/>
      <c r="B47" s="42" t="s">
        <v>214</v>
      </c>
      <c r="C47" s="282">
        <f>C46</f>
        <v>23325</v>
      </c>
      <c r="D47" s="282">
        <f t="shared" ref="D47:J47" si="4">D46</f>
        <v>3042</v>
      </c>
      <c r="E47" s="282">
        <f t="shared" si="4"/>
        <v>6737</v>
      </c>
      <c r="F47" s="282">
        <f t="shared" si="4"/>
        <v>9124</v>
      </c>
      <c r="G47" s="282">
        <f t="shared" si="4"/>
        <v>133</v>
      </c>
      <c r="H47" s="282">
        <f t="shared" si="4"/>
        <v>8</v>
      </c>
      <c r="I47" s="282">
        <f t="shared" si="4"/>
        <v>11</v>
      </c>
      <c r="J47" s="282">
        <f t="shared" si="4"/>
        <v>1</v>
      </c>
      <c r="K47" s="346"/>
      <c r="L47" s="346"/>
    </row>
    <row r="48" spans="1:12" s="37" customFormat="1" ht="14" customHeight="1" x14ac:dyDescent="0.15">
      <c r="A48" s="105">
        <v>38</v>
      </c>
      <c r="B48" s="40" t="s">
        <v>304</v>
      </c>
      <c r="C48" s="281">
        <v>0</v>
      </c>
      <c r="D48" s="281">
        <v>0</v>
      </c>
      <c r="E48" s="281">
        <v>0</v>
      </c>
      <c r="F48" s="281">
        <v>0</v>
      </c>
      <c r="G48" s="281">
        <v>0</v>
      </c>
      <c r="H48" s="281">
        <v>0</v>
      </c>
      <c r="I48" s="281">
        <v>0</v>
      </c>
      <c r="J48" s="281">
        <v>0</v>
      </c>
      <c r="K48" s="346"/>
      <c r="L48" s="346"/>
    </row>
    <row r="49" spans="1:12" ht="14" customHeight="1" x14ac:dyDescent="0.15">
      <c r="A49" s="105">
        <v>39</v>
      </c>
      <c r="B49" s="40" t="s">
        <v>305</v>
      </c>
      <c r="C49" s="281">
        <v>0</v>
      </c>
      <c r="D49" s="281">
        <v>0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J49" s="281">
        <v>0</v>
      </c>
    </row>
    <row r="50" spans="1:12" ht="14" customHeight="1" x14ac:dyDescent="0.15">
      <c r="A50" s="105">
        <v>40</v>
      </c>
      <c r="B50" s="40" t="s">
        <v>383</v>
      </c>
      <c r="C50" s="281">
        <v>0</v>
      </c>
      <c r="D50" s="281">
        <v>0</v>
      </c>
      <c r="E50" s="281">
        <v>0</v>
      </c>
      <c r="F50" s="281">
        <v>0</v>
      </c>
      <c r="G50" s="281">
        <v>0</v>
      </c>
      <c r="H50" s="281">
        <v>0</v>
      </c>
      <c r="I50" s="281">
        <v>0</v>
      </c>
      <c r="J50" s="281">
        <v>0</v>
      </c>
    </row>
    <row r="51" spans="1:12" s="37" customFormat="1" ht="14" customHeight="1" x14ac:dyDescent="0.15">
      <c r="A51" s="105">
        <v>41</v>
      </c>
      <c r="B51" s="40" t="s">
        <v>306</v>
      </c>
      <c r="C51" s="281">
        <v>0</v>
      </c>
      <c r="D51" s="281">
        <v>0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J51" s="281">
        <v>0</v>
      </c>
      <c r="K51" s="346"/>
      <c r="L51" s="346"/>
    </row>
    <row r="52" spans="1:12" ht="14" customHeight="1" x14ac:dyDescent="0.15">
      <c r="A52" s="105">
        <v>42</v>
      </c>
      <c r="B52" s="40" t="s">
        <v>307</v>
      </c>
      <c r="C52" s="281">
        <v>0</v>
      </c>
      <c r="D52" s="281">
        <v>0</v>
      </c>
      <c r="E52" s="281">
        <v>0</v>
      </c>
      <c r="F52" s="281">
        <v>0</v>
      </c>
      <c r="G52" s="281">
        <v>0</v>
      </c>
      <c r="H52" s="281">
        <v>0</v>
      </c>
      <c r="I52" s="281">
        <v>0</v>
      </c>
      <c r="J52" s="281">
        <v>0</v>
      </c>
    </row>
    <row r="53" spans="1:12" s="37" customFormat="1" ht="14" customHeight="1" x14ac:dyDescent="0.15">
      <c r="A53" s="105">
        <v>43</v>
      </c>
      <c r="B53" s="40" t="s">
        <v>308</v>
      </c>
      <c r="C53" s="281">
        <v>0</v>
      </c>
      <c r="D53" s="281">
        <v>0</v>
      </c>
      <c r="E53" s="281">
        <v>0</v>
      </c>
      <c r="F53" s="281">
        <v>0</v>
      </c>
      <c r="G53" s="281">
        <v>0</v>
      </c>
      <c r="H53" s="281">
        <v>0</v>
      </c>
      <c r="I53" s="281">
        <v>0</v>
      </c>
      <c r="J53" s="281">
        <v>0</v>
      </c>
      <c r="K53" s="346"/>
      <c r="L53" s="346"/>
    </row>
    <row r="54" spans="1:12" ht="14" customHeight="1" x14ac:dyDescent="0.15">
      <c r="A54" s="105">
        <v>44</v>
      </c>
      <c r="B54" s="40" t="s">
        <v>300</v>
      </c>
      <c r="C54" s="281">
        <v>0</v>
      </c>
      <c r="D54" s="281">
        <v>0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J54" s="281">
        <v>0</v>
      </c>
    </row>
    <row r="55" spans="1:12" ht="14" customHeight="1" x14ac:dyDescent="0.15">
      <c r="A55" s="105">
        <v>45</v>
      </c>
      <c r="B55" s="40" t="s">
        <v>309</v>
      </c>
      <c r="C55" s="281">
        <v>0</v>
      </c>
      <c r="D55" s="281">
        <v>0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J55" s="281">
        <v>0</v>
      </c>
    </row>
    <row r="56" spans="1:12" s="37" customFormat="1" ht="12.75" customHeight="1" x14ac:dyDescent="0.15">
      <c r="A56" s="293"/>
      <c r="B56" s="42" t="s">
        <v>310</v>
      </c>
      <c r="C56" s="282">
        <f>SUM(C48:C55)</f>
        <v>0</v>
      </c>
      <c r="D56" s="282">
        <f t="shared" ref="D56:J56" si="5">SUM(D48:D55)</f>
        <v>0</v>
      </c>
      <c r="E56" s="282">
        <f t="shared" si="5"/>
        <v>0</v>
      </c>
      <c r="F56" s="282">
        <f t="shared" si="5"/>
        <v>0</v>
      </c>
      <c r="G56" s="282">
        <f t="shared" si="5"/>
        <v>0</v>
      </c>
      <c r="H56" s="282">
        <f t="shared" si="5"/>
        <v>0</v>
      </c>
      <c r="I56" s="282">
        <f t="shared" si="5"/>
        <v>0</v>
      </c>
      <c r="J56" s="282">
        <f t="shared" si="5"/>
        <v>0</v>
      </c>
      <c r="K56" s="346"/>
      <c r="L56" s="346"/>
    </row>
    <row r="57" spans="1:12" s="37" customFormat="1" ht="14" customHeight="1" x14ac:dyDescent="0.15">
      <c r="A57" s="345"/>
      <c r="B57" s="108" t="s">
        <v>0</v>
      </c>
      <c r="C57" s="282">
        <f>C56+C47+C45+C42</f>
        <v>328937</v>
      </c>
      <c r="D57" s="282">
        <f t="shared" ref="D57:J57" si="6">D56+D47+D45+D42</f>
        <v>73018.19</v>
      </c>
      <c r="E57" s="282">
        <f t="shared" si="6"/>
        <v>148422</v>
      </c>
      <c r="F57" s="282">
        <f t="shared" si="6"/>
        <v>129416.68</v>
      </c>
      <c r="G57" s="282">
        <f t="shared" si="6"/>
        <v>3686</v>
      </c>
      <c r="H57" s="282">
        <f t="shared" si="6"/>
        <v>2528.6799999999998</v>
      </c>
      <c r="I57" s="282">
        <f t="shared" si="6"/>
        <v>5159</v>
      </c>
      <c r="J57" s="282">
        <f t="shared" si="6"/>
        <v>11438.69</v>
      </c>
      <c r="K57" s="346"/>
      <c r="L57" s="346"/>
    </row>
    <row r="58" spans="1:12" ht="15" customHeight="1" x14ac:dyDescent="0.2">
      <c r="C58" s="29"/>
      <c r="D58" s="29"/>
      <c r="E58" s="29"/>
      <c r="F58" s="29" t="s">
        <v>1089</v>
      </c>
      <c r="G58" s="37"/>
      <c r="H58" s="29"/>
      <c r="I58" s="37"/>
      <c r="J58" s="29"/>
    </row>
    <row r="60" spans="1:12" ht="15" customHeight="1" x14ac:dyDescent="0.2">
      <c r="I60" s="27"/>
    </row>
  </sheetData>
  <mergeCells count="10">
    <mergeCell ref="A1:J1"/>
    <mergeCell ref="I2:J2"/>
    <mergeCell ref="A3:A4"/>
    <mergeCell ref="B3:B4"/>
    <mergeCell ref="C4:D4"/>
    <mergeCell ref="E4:F4"/>
    <mergeCell ref="C3:F3"/>
    <mergeCell ref="G3:J3"/>
    <mergeCell ref="G4:H4"/>
    <mergeCell ref="I4:J4"/>
  </mergeCells>
  <conditionalFormatting sqref="K1:L1048576">
    <cfRule type="cellIs" dxfId="10" priority="1" operator="greaterThan">
      <formula>100</formula>
    </cfRule>
  </conditionalFormatting>
  <pageMargins left="0.95" right="0.45" top="0.5" bottom="0.5" header="0.3" footer="0.3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J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baseColWidth="10" defaultColWidth="9.19921875" defaultRowHeight="14" x14ac:dyDescent="0.2"/>
  <cols>
    <col min="1" max="1" width="5.59765625" style="17" customWidth="1"/>
    <col min="2" max="2" width="25.3984375" style="6" customWidth="1"/>
    <col min="3" max="3" width="10.59765625" style="6" customWidth="1"/>
    <col min="4" max="4" width="9.19921875" style="18"/>
    <col min="5" max="5" width="10.19921875" style="6" customWidth="1"/>
    <col min="6" max="6" width="9.19921875" style="18"/>
    <col min="7" max="7" width="9.796875" style="6" bestFit="1" customWidth="1"/>
    <col min="8" max="8" width="9.19921875" style="18"/>
    <col min="9" max="9" width="9.796875" style="6" bestFit="1" customWidth="1"/>
    <col min="10" max="10" width="13" style="18" customWidth="1"/>
    <col min="11" max="16384" width="9.19921875" style="6"/>
  </cols>
  <sheetData>
    <row r="1" spans="1:10" x14ac:dyDescent="0.2">
      <c r="A1" s="475" t="s">
        <v>95</v>
      </c>
      <c r="B1" s="475"/>
      <c r="C1" s="475"/>
      <c r="D1" s="475"/>
      <c r="E1" s="475"/>
      <c r="F1" s="475"/>
      <c r="G1" s="475"/>
      <c r="H1" s="475"/>
      <c r="I1" s="475"/>
      <c r="J1" s="475"/>
    </row>
    <row r="2" spans="1:10" x14ac:dyDescent="0.2">
      <c r="A2" s="7"/>
      <c r="B2" s="8" t="s">
        <v>105</v>
      </c>
      <c r="C2" s="475" t="s">
        <v>96</v>
      </c>
      <c r="D2" s="475"/>
      <c r="E2" s="475"/>
      <c r="F2" s="475"/>
      <c r="G2" s="475" t="s">
        <v>109</v>
      </c>
      <c r="H2" s="475"/>
      <c r="I2" s="475"/>
      <c r="J2" s="9" t="s">
        <v>97</v>
      </c>
    </row>
    <row r="3" spans="1:10" ht="34.5" customHeight="1" x14ac:dyDescent="0.2">
      <c r="A3" s="10" t="s">
        <v>98</v>
      </c>
      <c r="B3" s="11" t="s">
        <v>99</v>
      </c>
      <c r="C3" s="476" t="s">
        <v>100</v>
      </c>
      <c r="D3" s="476"/>
      <c r="E3" s="476" t="s">
        <v>101</v>
      </c>
      <c r="F3" s="476"/>
      <c r="G3" s="476" t="s">
        <v>100</v>
      </c>
      <c r="H3" s="476"/>
      <c r="I3" s="476" t="s">
        <v>101</v>
      </c>
      <c r="J3" s="476"/>
    </row>
    <row r="4" spans="1:10" ht="21.75" customHeight="1" x14ac:dyDescent="0.2">
      <c r="A4" s="12"/>
      <c r="B4" s="5"/>
      <c r="C4" s="12" t="s">
        <v>102</v>
      </c>
      <c r="D4" s="13" t="s">
        <v>15</v>
      </c>
      <c r="E4" s="12" t="s">
        <v>102</v>
      </c>
      <c r="F4" s="13" t="s">
        <v>15</v>
      </c>
      <c r="G4" s="12" t="s">
        <v>102</v>
      </c>
      <c r="H4" s="13" t="s">
        <v>15</v>
      </c>
      <c r="I4" s="12" t="s">
        <v>102</v>
      </c>
      <c r="J4" s="13" t="s">
        <v>15</v>
      </c>
    </row>
    <row r="5" spans="1:10" x14ac:dyDescent="0.2">
      <c r="A5" s="14">
        <v>1</v>
      </c>
      <c r="B5" s="15" t="s">
        <v>49</v>
      </c>
      <c r="C5" s="15">
        <v>5727</v>
      </c>
      <c r="D5" s="16">
        <v>94.81</v>
      </c>
      <c r="E5" s="15">
        <v>2617</v>
      </c>
      <c r="F5" s="16">
        <v>19.899999999999999</v>
      </c>
      <c r="G5" s="15">
        <v>10088</v>
      </c>
      <c r="H5" s="16">
        <v>116.24</v>
      </c>
      <c r="I5" s="15">
        <v>4563</v>
      </c>
      <c r="J5" s="16">
        <v>27.68</v>
      </c>
    </row>
    <row r="6" spans="1:10" x14ac:dyDescent="0.2">
      <c r="A6" s="14">
        <v>2</v>
      </c>
      <c r="B6" s="15" t="s">
        <v>50</v>
      </c>
      <c r="C6" s="15">
        <v>0</v>
      </c>
      <c r="D6" s="16">
        <v>0</v>
      </c>
      <c r="E6" s="15">
        <v>0</v>
      </c>
      <c r="F6" s="16">
        <v>0</v>
      </c>
      <c r="G6" s="15">
        <v>0</v>
      </c>
      <c r="H6" s="16">
        <v>0</v>
      </c>
      <c r="I6" s="15">
        <v>0</v>
      </c>
      <c r="J6" s="16">
        <v>0</v>
      </c>
    </row>
    <row r="7" spans="1:10" x14ac:dyDescent="0.2">
      <c r="A7" s="14">
        <v>3</v>
      </c>
      <c r="B7" s="15" t="s">
        <v>51</v>
      </c>
      <c r="C7" s="15">
        <v>2758</v>
      </c>
      <c r="D7" s="16">
        <v>30.78</v>
      </c>
      <c r="E7" s="15">
        <v>0</v>
      </c>
      <c r="F7" s="16">
        <v>0</v>
      </c>
      <c r="G7" s="15">
        <v>0</v>
      </c>
      <c r="H7" s="16">
        <v>0</v>
      </c>
      <c r="I7" s="15">
        <v>0</v>
      </c>
      <c r="J7" s="16">
        <v>0</v>
      </c>
    </row>
    <row r="8" spans="1:10" x14ac:dyDescent="0.2">
      <c r="A8" s="14">
        <v>4</v>
      </c>
      <c r="B8" s="15" t="s">
        <v>52</v>
      </c>
      <c r="C8" s="15">
        <v>2931</v>
      </c>
      <c r="D8" s="16">
        <v>58.68</v>
      </c>
      <c r="E8" s="15">
        <v>2931</v>
      </c>
      <c r="F8" s="16">
        <v>41.07</v>
      </c>
      <c r="G8" s="15">
        <v>2602</v>
      </c>
      <c r="H8" s="16">
        <v>42.44</v>
      </c>
      <c r="I8" s="15">
        <v>2602</v>
      </c>
      <c r="J8" s="16">
        <v>29.7</v>
      </c>
    </row>
    <row r="9" spans="1:10" x14ac:dyDescent="0.2">
      <c r="A9" s="14">
        <v>5</v>
      </c>
      <c r="B9" s="1" t="s">
        <v>53</v>
      </c>
      <c r="C9" s="15">
        <v>68</v>
      </c>
      <c r="D9" s="16">
        <v>1.1299999999999999</v>
      </c>
      <c r="E9" s="15">
        <v>0</v>
      </c>
      <c r="F9" s="16">
        <v>0</v>
      </c>
      <c r="G9" s="15">
        <v>0</v>
      </c>
      <c r="H9" s="16">
        <v>0</v>
      </c>
      <c r="I9" s="15">
        <v>0</v>
      </c>
      <c r="J9" s="16">
        <v>0</v>
      </c>
    </row>
    <row r="10" spans="1:10" x14ac:dyDescent="0.2">
      <c r="A10" s="14">
        <v>6</v>
      </c>
      <c r="B10" s="1" t="s">
        <v>54</v>
      </c>
      <c r="C10" s="15">
        <v>1509</v>
      </c>
      <c r="D10" s="16">
        <v>71.540000000000006</v>
      </c>
      <c r="E10" s="15">
        <v>767</v>
      </c>
      <c r="F10" s="16">
        <v>38.68</v>
      </c>
      <c r="G10" s="15">
        <v>6185</v>
      </c>
      <c r="H10" s="16">
        <v>228.82</v>
      </c>
      <c r="I10" s="15">
        <v>3278</v>
      </c>
      <c r="J10" s="16">
        <v>116.98</v>
      </c>
    </row>
    <row r="11" spans="1:10" x14ac:dyDescent="0.2">
      <c r="A11" s="14">
        <v>7</v>
      </c>
      <c r="B11" s="1" t="s">
        <v>42</v>
      </c>
      <c r="C11" s="15">
        <v>25</v>
      </c>
      <c r="D11" s="16">
        <v>0.13</v>
      </c>
      <c r="E11" s="15">
        <v>0</v>
      </c>
      <c r="F11" s="16">
        <v>0</v>
      </c>
      <c r="G11" s="15">
        <v>0</v>
      </c>
      <c r="H11" s="16">
        <v>0</v>
      </c>
      <c r="I11" s="15">
        <v>0</v>
      </c>
      <c r="J11" s="16">
        <v>0</v>
      </c>
    </row>
    <row r="12" spans="1:10" x14ac:dyDescent="0.2">
      <c r="A12" s="14">
        <v>8</v>
      </c>
      <c r="B12" s="1" t="s">
        <v>55</v>
      </c>
      <c r="C12" s="15">
        <v>5501</v>
      </c>
      <c r="D12" s="16">
        <v>128.26</v>
      </c>
      <c r="E12" s="15">
        <v>2872</v>
      </c>
      <c r="F12" s="16">
        <v>43.65</v>
      </c>
      <c r="G12" s="15">
        <v>2974</v>
      </c>
      <c r="H12" s="16">
        <v>37.9</v>
      </c>
      <c r="I12" s="15">
        <v>618</v>
      </c>
      <c r="J12" s="16">
        <v>10.25</v>
      </c>
    </row>
    <row r="13" spans="1:10" x14ac:dyDescent="0.2">
      <c r="A13" s="14">
        <v>9</v>
      </c>
      <c r="B13" s="1" t="s">
        <v>43</v>
      </c>
      <c r="C13" s="15">
        <v>10</v>
      </c>
      <c r="D13" s="16">
        <v>0.18</v>
      </c>
      <c r="E13" s="15">
        <v>0</v>
      </c>
      <c r="F13" s="16">
        <v>0</v>
      </c>
      <c r="G13" s="15">
        <v>0</v>
      </c>
      <c r="H13" s="16">
        <v>0</v>
      </c>
      <c r="I13" s="15">
        <v>0</v>
      </c>
      <c r="J13" s="16">
        <v>0</v>
      </c>
    </row>
    <row r="14" spans="1:10" x14ac:dyDescent="0.2">
      <c r="A14" s="14">
        <v>10</v>
      </c>
      <c r="B14" s="1" t="s">
        <v>75</v>
      </c>
      <c r="C14" s="15">
        <v>0</v>
      </c>
      <c r="D14" s="16">
        <v>0</v>
      </c>
      <c r="E14" s="15">
        <v>0</v>
      </c>
      <c r="F14" s="16">
        <v>0</v>
      </c>
      <c r="G14" s="15">
        <v>7</v>
      </c>
      <c r="H14" s="16">
        <v>0.11</v>
      </c>
      <c r="I14" s="15">
        <v>0</v>
      </c>
      <c r="J14" s="16">
        <v>0</v>
      </c>
    </row>
    <row r="15" spans="1:10" x14ac:dyDescent="0.2">
      <c r="A15" s="14">
        <v>11</v>
      </c>
      <c r="B15" s="1" t="s">
        <v>56</v>
      </c>
      <c r="C15" s="15">
        <v>0</v>
      </c>
      <c r="D15" s="16">
        <v>0</v>
      </c>
      <c r="E15" s="15">
        <v>0</v>
      </c>
      <c r="F15" s="16">
        <v>0</v>
      </c>
      <c r="G15" s="15">
        <v>0</v>
      </c>
      <c r="H15" s="16">
        <v>0</v>
      </c>
      <c r="I15" s="15">
        <v>0</v>
      </c>
      <c r="J15" s="16">
        <v>0</v>
      </c>
    </row>
    <row r="16" spans="1:10" x14ac:dyDescent="0.2">
      <c r="A16" s="14">
        <v>12</v>
      </c>
      <c r="B16" s="1" t="s">
        <v>57</v>
      </c>
      <c r="C16" s="15">
        <v>0</v>
      </c>
      <c r="D16" s="16">
        <v>0</v>
      </c>
      <c r="E16" s="15">
        <v>0</v>
      </c>
      <c r="F16" s="16">
        <v>0</v>
      </c>
      <c r="G16" s="15">
        <v>0</v>
      </c>
      <c r="H16" s="16">
        <v>0</v>
      </c>
      <c r="I16" s="15">
        <v>0</v>
      </c>
      <c r="J16" s="16">
        <v>0</v>
      </c>
    </row>
    <row r="17" spans="1:10" x14ac:dyDescent="0.2">
      <c r="A17" s="14">
        <v>13</v>
      </c>
      <c r="B17" s="1" t="s">
        <v>76</v>
      </c>
      <c r="C17" s="15">
        <v>11</v>
      </c>
      <c r="D17" s="16">
        <v>0.18</v>
      </c>
      <c r="E17" s="15">
        <v>0</v>
      </c>
      <c r="F17" s="16">
        <v>0</v>
      </c>
      <c r="G17" s="15">
        <v>0</v>
      </c>
      <c r="H17" s="16">
        <v>0</v>
      </c>
      <c r="I17" s="15">
        <v>0</v>
      </c>
      <c r="J17" s="16">
        <v>0</v>
      </c>
    </row>
    <row r="18" spans="1:10" x14ac:dyDescent="0.2">
      <c r="A18" s="14">
        <v>14</v>
      </c>
      <c r="B18" s="1" t="s">
        <v>77</v>
      </c>
      <c r="C18" s="15">
        <v>0</v>
      </c>
      <c r="D18" s="16">
        <v>0</v>
      </c>
      <c r="E18" s="15">
        <v>0</v>
      </c>
      <c r="F18" s="16">
        <v>0</v>
      </c>
      <c r="G18" s="15">
        <v>83</v>
      </c>
      <c r="H18" s="16">
        <v>6.91</v>
      </c>
      <c r="I18" s="15">
        <v>3</v>
      </c>
      <c r="J18" s="16">
        <v>0.55000000000000004</v>
      </c>
    </row>
    <row r="19" spans="1:10" x14ac:dyDescent="0.2">
      <c r="A19" s="14">
        <v>15</v>
      </c>
      <c r="B19" s="1" t="s">
        <v>58</v>
      </c>
      <c r="C19" s="15">
        <v>24061</v>
      </c>
      <c r="D19" s="16">
        <v>362.75</v>
      </c>
      <c r="E19" s="15">
        <v>7218</v>
      </c>
      <c r="F19" s="16">
        <v>108.82</v>
      </c>
      <c r="G19" s="15">
        <v>2712</v>
      </c>
      <c r="H19" s="16">
        <v>40.61</v>
      </c>
      <c r="I19" s="15">
        <v>542</v>
      </c>
      <c r="J19" s="16">
        <v>80.12</v>
      </c>
    </row>
    <row r="20" spans="1:10" x14ac:dyDescent="0.2">
      <c r="A20" s="14">
        <v>16</v>
      </c>
      <c r="B20" s="1" t="s">
        <v>59</v>
      </c>
      <c r="C20" s="15">
        <v>0</v>
      </c>
      <c r="D20" s="16">
        <v>0</v>
      </c>
      <c r="E20" s="15">
        <v>0</v>
      </c>
      <c r="F20" s="16">
        <v>0</v>
      </c>
      <c r="G20" s="15">
        <v>0</v>
      </c>
      <c r="H20" s="16">
        <v>0</v>
      </c>
      <c r="I20" s="15">
        <v>0</v>
      </c>
      <c r="J20" s="16">
        <v>0</v>
      </c>
    </row>
    <row r="21" spans="1:10" x14ac:dyDescent="0.2">
      <c r="A21" s="14">
        <v>17</v>
      </c>
      <c r="B21" s="1" t="s">
        <v>74</v>
      </c>
      <c r="C21" s="15">
        <v>299</v>
      </c>
      <c r="D21" s="16">
        <v>6.69</v>
      </c>
      <c r="E21" s="15">
        <v>120</v>
      </c>
      <c r="F21" s="16">
        <v>2.21</v>
      </c>
      <c r="G21" s="15">
        <v>619</v>
      </c>
      <c r="H21" s="16">
        <v>6.75</v>
      </c>
      <c r="I21" s="15">
        <v>264</v>
      </c>
      <c r="J21" s="16">
        <v>2.4500000000000002</v>
      </c>
    </row>
    <row r="22" spans="1:10" x14ac:dyDescent="0.2">
      <c r="A22" s="14">
        <v>18</v>
      </c>
      <c r="B22" s="1" t="s">
        <v>60</v>
      </c>
      <c r="C22" s="15">
        <v>153</v>
      </c>
      <c r="D22" s="16">
        <v>3.52</v>
      </c>
      <c r="E22" s="15">
        <v>0</v>
      </c>
      <c r="F22" s="16">
        <v>0</v>
      </c>
      <c r="G22" s="15">
        <v>0</v>
      </c>
      <c r="H22" s="16">
        <v>0</v>
      </c>
      <c r="I22" s="15">
        <v>0</v>
      </c>
      <c r="J22" s="16">
        <v>0</v>
      </c>
    </row>
    <row r="23" spans="1:10" x14ac:dyDescent="0.2">
      <c r="A23" s="14">
        <v>19</v>
      </c>
      <c r="B23" s="1" t="s">
        <v>61</v>
      </c>
      <c r="C23" s="15">
        <v>0</v>
      </c>
      <c r="D23" s="16">
        <v>0</v>
      </c>
      <c r="E23" s="15">
        <v>0</v>
      </c>
      <c r="F23" s="16">
        <v>0</v>
      </c>
      <c r="G23" s="15">
        <v>0</v>
      </c>
      <c r="H23" s="16">
        <v>0</v>
      </c>
      <c r="I23" s="15">
        <v>0</v>
      </c>
      <c r="J23" s="16">
        <v>0</v>
      </c>
    </row>
    <row r="24" spans="1:10" x14ac:dyDescent="0.2">
      <c r="A24" s="14">
        <v>20</v>
      </c>
      <c r="B24" s="15" t="s">
        <v>44</v>
      </c>
      <c r="C24" s="15">
        <v>0</v>
      </c>
      <c r="D24" s="16">
        <v>0</v>
      </c>
      <c r="E24" s="15">
        <v>0</v>
      </c>
      <c r="F24" s="16">
        <v>0</v>
      </c>
      <c r="G24" s="15">
        <v>0</v>
      </c>
      <c r="H24" s="16">
        <v>0</v>
      </c>
      <c r="I24" s="15">
        <v>0</v>
      </c>
      <c r="J24" s="16">
        <v>0</v>
      </c>
    </row>
    <row r="25" spans="1:10" x14ac:dyDescent="0.2">
      <c r="A25" s="14">
        <v>21</v>
      </c>
      <c r="B25" s="15" t="s">
        <v>103</v>
      </c>
      <c r="C25" s="15">
        <v>0</v>
      </c>
      <c r="D25" s="16">
        <v>0</v>
      </c>
      <c r="E25" s="15">
        <v>0</v>
      </c>
      <c r="F25" s="16">
        <v>0</v>
      </c>
      <c r="G25" s="15">
        <v>0</v>
      </c>
      <c r="H25" s="16">
        <v>0</v>
      </c>
      <c r="I25" s="15">
        <v>0</v>
      </c>
      <c r="J25" s="16">
        <v>0</v>
      </c>
    </row>
    <row r="26" spans="1:10" x14ac:dyDescent="0.2">
      <c r="A26" s="14">
        <v>22</v>
      </c>
      <c r="B26" s="15" t="s">
        <v>62</v>
      </c>
      <c r="C26" s="15">
        <v>0</v>
      </c>
      <c r="D26" s="16">
        <v>0</v>
      </c>
      <c r="E26" s="15">
        <v>0</v>
      </c>
      <c r="F26" s="16">
        <v>0</v>
      </c>
      <c r="G26" s="15">
        <v>0</v>
      </c>
      <c r="H26" s="16">
        <v>0</v>
      </c>
      <c r="I26" s="15">
        <v>0</v>
      </c>
      <c r="J26" s="16">
        <v>0</v>
      </c>
    </row>
    <row r="27" spans="1:10" x14ac:dyDescent="0.2">
      <c r="A27" s="14">
        <v>23</v>
      </c>
      <c r="B27" s="15" t="s">
        <v>63</v>
      </c>
      <c r="C27" s="15">
        <v>0</v>
      </c>
      <c r="D27" s="16">
        <v>0</v>
      </c>
      <c r="E27" s="15">
        <v>0</v>
      </c>
      <c r="F27" s="16">
        <v>0</v>
      </c>
      <c r="G27" s="15">
        <v>0</v>
      </c>
      <c r="H27" s="16">
        <v>0</v>
      </c>
      <c r="I27" s="15">
        <v>0</v>
      </c>
      <c r="J27" s="16">
        <v>0</v>
      </c>
    </row>
    <row r="28" spans="1:10" x14ac:dyDescent="0.2">
      <c r="A28" s="14">
        <v>24</v>
      </c>
      <c r="B28" s="15" t="s">
        <v>78</v>
      </c>
      <c r="C28" s="15">
        <v>0</v>
      </c>
      <c r="D28" s="16">
        <v>0</v>
      </c>
      <c r="E28" s="15">
        <v>0</v>
      </c>
      <c r="F28" s="16">
        <v>0</v>
      </c>
      <c r="G28" s="15">
        <v>0</v>
      </c>
      <c r="H28" s="16">
        <v>0</v>
      </c>
      <c r="I28" s="15">
        <v>0</v>
      </c>
      <c r="J28" s="16">
        <v>0</v>
      </c>
    </row>
    <row r="29" spans="1:10" x14ac:dyDescent="0.2">
      <c r="A29" s="14">
        <v>25</v>
      </c>
      <c r="B29" s="15" t="s">
        <v>79</v>
      </c>
      <c r="C29" s="15">
        <v>0</v>
      </c>
      <c r="D29" s="16">
        <v>0</v>
      </c>
      <c r="E29" s="15">
        <v>0</v>
      </c>
      <c r="F29" s="16">
        <v>0</v>
      </c>
      <c r="G29" s="15">
        <v>0</v>
      </c>
      <c r="H29" s="16">
        <v>0</v>
      </c>
      <c r="I29" s="15">
        <v>0</v>
      </c>
      <c r="J29" s="16">
        <v>0</v>
      </c>
    </row>
    <row r="30" spans="1:10" x14ac:dyDescent="0.2">
      <c r="A30" s="14">
        <v>26</v>
      </c>
      <c r="B30" s="15" t="s">
        <v>80</v>
      </c>
      <c r="C30" s="15">
        <v>0</v>
      </c>
      <c r="D30" s="16">
        <v>0</v>
      </c>
      <c r="E30" s="15">
        <v>0</v>
      </c>
      <c r="F30" s="16">
        <v>0</v>
      </c>
      <c r="G30" s="15">
        <v>0</v>
      </c>
      <c r="H30" s="16">
        <v>0</v>
      </c>
      <c r="I30" s="15">
        <v>0</v>
      </c>
      <c r="J30" s="16">
        <v>0</v>
      </c>
    </row>
    <row r="31" spans="1:10" x14ac:dyDescent="0.2">
      <c r="A31" s="14">
        <v>27</v>
      </c>
      <c r="B31" s="15" t="s">
        <v>81</v>
      </c>
      <c r="C31" s="15">
        <v>0</v>
      </c>
      <c r="D31" s="16">
        <v>0</v>
      </c>
      <c r="E31" s="15">
        <v>0</v>
      </c>
      <c r="F31" s="16">
        <v>0</v>
      </c>
      <c r="G31" s="15">
        <v>0</v>
      </c>
      <c r="H31" s="16">
        <v>0</v>
      </c>
      <c r="I31" s="15">
        <v>0</v>
      </c>
      <c r="J31" s="16">
        <v>0</v>
      </c>
    </row>
    <row r="32" spans="1:10" x14ac:dyDescent="0.2">
      <c r="A32" s="14">
        <v>28</v>
      </c>
      <c r="B32" s="15" t="s">
        <v>64</v>
      </c>
      <c r="C32" s="15">
        <v>0</v>
      </c>
      <c r="D32" s="16">
        <v>0</v>
      </c>
      <c r="E32" s="15">
        <v>0</v>
      </c>
      <c r="F32" s="16">
        <v>0</v>
      </c>
      <c r="G32" s="15">
        <v>411</v>
      </c>
      <c r="H32" s="16">
        <v>4.88</v>
      </c>
      <c r="I32" s="15">
        <v>0</v>
      </c>
      <c r="J32" s="16">
        <v>0</v>
      </c>
    </row>
    <row r="33" spans="1:10" x14ac:dyDescent="0.2">
      <c r="A33" s="14">
        <v>29</v>
      </c>
      <c r="B33" s="15" t="s">
        <v>41</v>
      </c>
      <c r="C33" s="15">
        <v>0</v>
      </c>
      <c r="D33" s="16">
        <v>0</v>
      </c>
      <c r="E33" s="15">
        <v>0</v>
      </c>
      <c r="F33" s="16">
        <v>0</v>
      </c>
      <c r="G33" s="15">
        <v>0</v>
      </c>
      <c r="H33" s="16">
        <v>0</v>
      </c>
      <c r="I33" s="15">
        <v>0</v>
      </c>
      <c r="J33" s="16">
        <v>0</v>
      </c>
    </row>
    <row r="34" spans="1:10" x14ac:dyDescent="0.2">
      <c r="A34" s="14">
        <v>30</v>
      </c>
      <c r="B34" s="15" t="s">
        <v>65</v>
      </c>
      <c r="C34" s="15">
        <v>9763</v>
      </c>
      <c r="D34" s="16">
        <v>30.76</v>
      </c>
      <c r="E34" s="15">
        <v>3425</v>
      </c>
      <c r="F34" s="16">
        <v>111.15</v>
      </c>
      <c r="G34" s="15">
        <v>1030</v>
      </c>
      <c r="H34" s="16">
        <v>3.49</v>
      </c>
      <c r="I34" s="15">
        <v>696</v>
      </c>
      <c r="J34" s="16">
        <v>34.729999999999997</v>
      </c>
    </row>
    <row r="35" spans="1:10" x14ac:dyDescent="0.2">
      <c r="A35" s="14">
        <v>31</v>
      </c>
      <c r="B35" s="15" t="s">
        <v>66</v>
      </c>
      <c r="C35" s="15">
        <v>0</v>
      </c>
      <c r="D35" s="16">
        <v>0</v>
      </c>
      <c r="E35" s="15">
        <v>0</v>
      </c>
      <c r="F35" s="16">
        <v>0</v>
      </c>
      <c r="G35" s="15">
        <v>0</v>
      </c>
      <c r="H35" s="16">
        <v>0</v>
      </c>
      <c r="I35" s="15">
        <v>0</v>
      </c>
      <c r="J35" s="16">
        <v>0</v>
      </c>
    </row>
    <row r="36" spans="1:10" x14ac:dyDescent="0.2">
      <c r="A36" s="14">
        <v>32</v>
      </c>
      <c r="B36" s="15" t="s">
        <v>82</v>
      </c>
      <c r="C36" s="15">
        <v>0</v>
      </c>
      <c r="D36" s="16">
        <v>0</v>
      </c>
      <c r="E36" s="15">
        <v>0</v>
      </c>
      <c r="F36" s="16">
        <v>0</v>
      </c>
      <c r="G36" s="15">
        <v>0</v>
      </c>
      <c r="H36" s="16">
        <v>0</v>
      </c>
      <c r="I36" s="15">
        <v>0</v>
      </c>
      <c r="J36" s="16">
        <v>0</v>
      </c>
    </row>
    <row r="37" spans="1:10" x14ac:dyDescent="0.2">
      <c r="A37" s="14">
        <v>33</v>
      </c>
      <c r="B37" s="15" t="s">
        <v>45</v>
      </c>
      <c r="C37" s="15">
        <v>0</v>
      </c>
      <c r="D37" s="16">
        <v>0</v>
      </c>
      <c r="E37" s="15">
        <v>0</v>
      </c>
      <c r="F37" s="16">
        <v>0</v>
      </c>
      <c r="G37" s="15">
        <v>0</v>
      </c>
      <c r="H37" s="16">
        <v>0</v>
      </c>
      <c r="I37" s="15">
        <v>0</v>
      </c>
      <c r="J37" s="16">
        <v>0</v>
      </c>
    </row>
    <row r="38" spans="1:10" x14ac:dyDescent="0.2">
      <c r="A38" s="14">
        <v>34</v>
      </c>
      <c r="B38" s="15" t="s">
        <v>83</v>
      </c>
      <c r="C38" s="15">
        <v>0</v>
      </c>
      <c r="D38" s="16">
        <v>0</v>
      </c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">
      <c r="A39" s="14">
        <v>35</v>
      </c>
      <c r="B39" s="15" t="s">
        <v>84</v>
      </c>
      <c r="C39" s="15">
        <v>0</v>
      </c>
      <c r="D39" s="16">
        <v>0</v>
      </c>
      <c r="E39" s="15">
        <v>0</v>
      </c>
      <c r="F39" s="16">
        <v>0</v>
      </c>
      <c r="G39" s="15">
        <v>0</v>
      </c>
      <c r="H39" s="16">
        <v>0</v>
      </c>
      <c r="I39" s="15">
        <v>0</v>
      </c>
      <c r="J39" s="16">
        <v>0</v>
      </c>
    </row>
    <row r="40" spans="1:10" x14ac:dyDescent="0.2">
      <c r="A40" s="14">
        <v>36</v>
      </c>
      <c r="B40" s="15" t="s">
        <v>67</v>
      </c>
      <c r="C40" s="15">
        <v>0</v>
      </c>
      <c r="D40" s="16">
        <v>0</v>
      </c>
      <c r="E40" s="15">
        <v>0</v>
      </c>
      <c r="F40" s="16">
        <v>0</v>
      </c>
      <c r="G40" s="15">
        <v>0</v>
      </c>
      <c r="H40" s="16">
        <v>0</v>
      </c>
      <c r="I40" s="15">
        <v>0</v>
      </c>
      <c r="J40" s="16">
        <v>0</v>
      </c>
    </row>
    <row r="41" spans="1:10" x14ac:dyDescent="0.2">
      <c r="A41" s="14">
        <v>37</v>
      </c>
      <c r="B41" s="15" t="s">
        <v>85</v>
      </c>
      <c r="C41" s="15">
        <v>0</v>
      </c>
      <c r="D41" s="16">
        <v>0</v>
      </c>
      <c r="E41" s="15">
        <v>0</v>
      </c>
      <c r="F41" s="16">
        <v>0</v>
      </c>
      <c r="G41" s="15">
        <v>0</v>
      </c>
      <c r="H41" s="16">
        <v>0</v>
      </c>
      <c r="I41" s="15">
        <v>0</v>
      </c>
      <c r="J41" s="16">
        <v>0</v>
      </c>
    </row>
    <row r="42" spans="1:10" x14ac:dyDescent="0.2">
      <c r="A42" s="14">
        <v>38</v>
      </c>
      <c r="B42" s="15" t="s">
        <v>68</v>
      </c>
      <c r="C42" s="15">
        <v>0</v>
      </c>
      <c r="D42" s="16">
        <v>0</v>
      </c>
      <c r="E42" s="15">
        <v>0</v>
      </c>
      <c r="F42" s="16">
        <v>0</v>
      </c>
      <c r="G42" s="15">
        <v>0</v>
      </c>
      <c r="H42" s="16">
        <v>0</v>
      </c>
      <c r="I42" s="15">
        <v>0</v>
      </c>
      <c r="J42" s="16">
        <v>0</v>
      </c>
    </row>
    <row r="43" spans="1:10" x14ac:dyDescent="0.2">
      <c r="A43" s="14">
        <v>39</v>
      </c>
      <c r="B43" s="15" t="s">
        <v>86</v>
      </c>
      <c r="C43" s="15">
        <v>0</v>
      </c>
      <c r="D43" s="16">
        <v>0</v>
      </c>
      <c r="E43" s="15">
        <v>0</v>
      </c>
      <c r="F43" s="16">
        <v>0</v>
      </c>
      <c r="G43" s="15">
        <v>0</v>
      </c>
      <c r="H43" s="16">
        <v>0</v>
      </c>
      <c r="I43" s="15">
        <v>0</v>
      </c>
      <c r="J43" s="16">
        <v>0</v>
      </c>
    </row>
    <row r="44" spans="1:10" x14ac:dyDescent="0.2">
      <c r="A44" s="14">
        <v>40</v>
      </c>
      <c r="B44" s="15" t="s">
        <v>87</v>
      </c>
      <c r="C44" s="15">
        <v>0</v>
      </c>
      <c r="D44" s="16">
        <v>0</v>
      </c>
      <c r="E44" s="15">
        <v>0</v>
      </c>
      <c r="F44" s="16">
        <v>0</v>
      </c>
      <c r="G44" s="15">
        <v>0</v>
      </c>
      <c r="H44" s="16">
        <v>0</v>
      </c>
      <c r="I44" s="15">
        <v>0</v>
      </c>
      <c r="J44" s="16">
        <v>0</v>
      </c>
    </row>
    <row r="45" spans="1:10" x14ac:dyDescent="0.2">
      <c r="A45" s="14">
        <v>41</v>
      </c>
      <c r="B45" s="15" t="s">
        <v>69</v>
      </c>
      <c r="C45" s="15">
        <v>0</v>
      </c>
      <c r="D45" s="16">
        <v>0</v>
      </c>
      <c r="E45" s="15">
        <v>0</v>
      </c>
      <c r="F45" s="16">
        <v>0</v>
      </c>
      <c r="G45" s="15">
        <v>0</v>
      </c>
      <c r="H45" s="16">
        <v>0</v>
      </c>
      <c r="I45" s="15">
        <v>0</v>
      </c>
      <c r="J45" s="16">
        <v>0</v>
      </c>
    </row>
    <row r="46" spans="1:10" x14ac:dyDescent="0.2">
      <c r="A46" s="14">
        <v>42</v>
      </c>
      <c r="B46" s="15" t="s">
        <v>70</v>
      </c>
      <c r="C46" s="15">
        <v>0</v>
      </c>
      <c r="D46" s="16">
        <v>0</v>
      </c>
      <c r="E46" s="15">
        <v>0</v>
      </c>
      <c r="F46" s="16">
        <v>0</v>
      </c>
      <c r="G46" s="15">
        <v>0</v>
      </c>
      <c r="H46" s="16">
        <v>0</v>
      </c>
      <c r="I46" s="15">
        <v>0</v>
      </c>
      <c r="J46" s="16">
        <v>0</v>
      </c>
    </row>
    <row r="47" spans="1:10" x14ac:dyDescent="0.2">
      <c r="A47" s="14">
        <v>43</v>
      </c>
      <c r="B47" s="15" t="s">
        <v>88</v>
      </c>
      <c r="C47" s="15">
        <v>0</v>
      </c>
      <c r="D47" s="16">
        <v>0</v>
      </c>
      <c r="E47" s="15">
        <v>0</v>
      </c>
      <c r="F47" s="16">
        <v>0</v>
      </c>
      <c r="G47" s="15">
        <v>0</v>
      </c>
      <c r="H47" s="16">
        <v>0</v>
      </c>
      <c r="I47" s="15">
        <v>0</v>
      </c>
      <c r="J47" s="16">
        <v>0</v>
      </c>
    </row>
    <row r="48" spans="1:10" x14ac:dyDescent="0.2">
      <c r="A48" s="14">
        <v>44</v>
      </c>
      <c r="B48" s="15" t="s">
        <v>71</v>
      </c>
      <c r="C48" s="15">
        <v>0</v>
      </c>
      <c r="D48" s="16">
        <v>0</v>
      </c>
      <c r="E48" s="15">
        <v>0</v>
      </c>
      <c r="F48" s="16">
        <v>0</v>
      </c>
      <c r="G48" s="15">
        <v>0</v>
      </c>
      <c r="H48" s="16">
        <v>0</v>
      </c>
      <c r="I48" s="15">
        <v>0</v>
      </c>
      <c r="J48" s="16">
        <v>0</v>
      </c>
    </row>
    <row r="49" spans="1:10" x14ac:dyDescent="0.2">
      <c r="A49" s="14">
        <v>45</v>
      </c>
      <c r="B49" s="15" t="s">
        <v>72</v>
      </c>
      <c r="C49" s="15">
        <v>0</v>
      </c>
      <c r="D49" s="16">
        <v>0</v>
      </c>
      <c r="E49" s="15">
        <v>0</v>
      </c>
      <c r="F49" s="16">
        <v>0</v>
      </c>
      <c r="G49" s="15">
        <v>0</v>
      </c>
      <c r="H49" s="16">
        <v>0</v>
      </c>
      <c r="I49" s="15">
        <v>0</v>
      </c>
      <c r="J49" s="16">
        <v>0</v>
      </c>
    </row>
    <row r="50" spans="1:10" x14ac:dyDescent="0.2">
      <c r="A50" s="14">
        <v>46</v>
      </c>
      <c r="B50" s="15" t="s">
        <v>89</v>
      </c>
      <c r="C50" s="15">
        <v>0</v>
      </c>
      <c r="D50" s="16">
        <v>0</v>
      </c>
      <c r="E50" s="15">
        <v>0</v>
      </c>
      <c r="F50" s="16">
        <v>0</v>
      </c>
      <c r="G50" s="15">
        <v>0</v>
      </c>
      <c r="H50" s="16">
        <v>0</v>
      </c>
      <c r="I50" s="15">
        <v>0</v>
      </c>
      <c r="J50" s="16">
        <v>0</v>
      </c>
    </row>
    <row r="51" spans="1:10" x14ac:dyDescent="0.2">
      <c r="A51" s="14">
        <v>47</v>
      </c>
      <c r="B51" s="15" t="s">
        <v>90</v>
      </c>
      <c r="C51" s="15">
        <v>0</v>
      </c>
      <c r="D51" s="16">
        <v>0</v>
      </c>
      <c r="E51" s="15">
        <v>0</v>
      </c>
      <c r="F51" s="16">
        <v>0</v>
      </c>
      <c r="G51" s="15">
        <v>0</v>
      </c>
      <c r="H51" s="16">
        <v>0</v>
      </c>
      <c r="I51" s="15">
        <v>0</v>
      </c>
      <c r="J51" s="16">
        <v>0</v>
      </c>
    </row>
    <row r="52" spans="1:10" x14ac:dyDescent="0.2">
      <c r="A52" s="14">
        <v>48</v>
      </c>
      <c r="B52" s="1" t="s">
        <v>46</v>
      </c>
      <c r="C52" s="15">
        <v>0</v>
      </c>
      <c r="D52" s="16">
        <v>0</v>
      </c>
      <c r="E52" s="15">
        <v>0</v>
      </c>
      <c r="F52" s="16">
        <v>0</v>
      </c>
      <c r="G52" s="15">
        <v>0</v>
      </c>
      <c r="H52" s="16">
        <v>0</v>
      </c>
      <c r="I52" s="15">
        <v>0</v>
      </c>
      <c r="J52" s="16">
        <v>0</v>
      </c>
    </row>
    <row r="53" spans="1:10" x14ac:dyDescent="0.2">
      <c r="A53" s="14">
        <v>49</v>
      </c>
      <c r="B53" s="15" t="s">
        <v>40</v>
      </c>
      <c r="C53" s="15">
        <v>974</v>
      </c>
      <c r="D53" s="16">
        <v>8.01</v>
      </c>
      <c r="E53" s="15">
        <v>974</v>
      </c>
      <c r="F53" s="16">
        <v>8.01</v>
      </c>
      <c r="G53" s="15">
        <v>6</v>
      </c>
      <c r="H53" s="16">
        <v>0.2</v>
      </c>
      <c r="I53" s="15">
        <v>6</v>
      </c>
      <c r="J53" s="16">
        <v>0.2</v>
      </c>
    </row>
    <row r="54" spans="1:10" x14ac:dyDescent="0.2">
      <c r="A54" s="14">
        <v>50</v>
      </c>
      <c r="B54" s="15" t="s">
        <v>73</v>
      </c>
      <c r="C54" s="15">
        <v>11242</v>
      </c>
      <c r="D54" s="16">
        <v>31.11</v>
      </c>
      <c r="E54" s="15">
        <v>0</v>
      </c>
      <c r="F54" s="16">
        <v>0</v>
      </c>
      <c r="G54" s="15">
        <v>0</v>
      </c>
      <c r="H54" s="16">
        <v>0</v>
      </c>
      <c r="I54" s="15">
        <v>0</v>
      </c>
      <c r="J54" s="16">
        <v>0</v>
      </c>
    </row>
    <row r="55" spans="1:10" x14ac:dyDescent="0.2">
      <c r="A55" s="14"/>
      <c r="B55" s="5" t="s">
        <v>104</v>
      </c>
      <c r="C55" s="5">
        <f t="shared" ref="C55:J55" si="0">SUM(C5:C54)</f>
        <v>65032</v>
      </c>
      <c r="D55" s="4">
        <f t="shared" si="0"/>
        <v>828.53000000000009</v>
      </c>
      <c r="E55" s="5">
        <f t="shared" si="0"/>
        <v>20924</v>
      </c>
      <c r="F55" s="4">
        <f t="shared" si="0"/>
        <v>373.49</v>
      </c>
      <c r="G55" s="5">
        <f t="shared" si="0"/>
        <v>26717</v>
      </c>
      <c r="H55" s="4">
        <f t="shared" si="0"/>
        <v>488.35</v>
      </c>
      <c r="I55" s="5">
        <f t="shared" si="0"/>
        <v>12572</v>
      </c>
      <c r="J55" s="4">
        <f t="shared" si="0"/>
        <v>302.66000000000003</v>
      </c>
    </row>
    <row r="57" spans="1:10" x14ac:dyDescent="0.2">
      <c r="B57" s="19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P64"/>
  <sheetViews>
    <sheetView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I64" sqref="I64"/>
    </sheetView>
  </sheetViews>
  <sheetFormatPr baseColWidth="10" defaultColWidth="9.19921875" defaultRowHeight="13" x14ac:dyDescent="0.2"/>
  <cols>
    <col min="1" max="1" width="5.59765625" style="153" customWidth="1"/>
    <col min="2" max="2" width="24.19921875" style="2" customWidth="1"/>
    <col min="3" max="3" width="9" style="3" bestFit="1" customWidth="1"/>
    <col min="4" max="4" width="9.19921875" style="3" bestFit="1" customWidth="1"/>
    <col min="5" max="6" width="10.19921875" style="3" bestFit="1" customWidth="1"/>
    <col min="7" max="7" width="8.19921875" style="3" customWidth="1"/>
    <col min="8" max="8" width="7.19921875" style="3" bestFit="1" customWidth="1"/>
    <col min="9" max="9" width="8.796875" style="3" customWidth="1"/>
    <col min="10" max="10" width="10.19921875" style="3" bestFit="1" customWidth="1"/>
    <col min="11" max="11" width="9.19921875" style="3" bestFit="1" customWidth="1"/>
    <col min="12" max="12" width="9.3984375" style="3" bestFit="1" customWidth="1"/>
    <col min="13" max="13" width="9.19921875" style="3" bestFit="1" customWidth="1"/>
    <col min="14" max="14" width="10.19921875" style="3" bestFit="1" customWidth="1"/>
    <col min="15" max="15" width="9.19921875" style="3" bestFit="1" customWidth="1"/>
    <col min="16" max="16" width="11.3984375" style="3" bestFit="1" customWidth="1"/>
    <col min="17" max="16384" width="9.19921875" style="2"/>
  </cols>
  <sheetData>
    <row r="1" spans="1:16" ht="15.75" customHeight="1" x14ac:dyDescent="0.2">
      <c r="A1" s="458" t="s">
        <v>1039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" x14ac:dyDescent="0.2">
      <c r="A2" s="459" t="s">
        <v>107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16" ht="15" customHeight="1" x14ac:dyDescent="0.2">
      <c r="A3" s="24"/>
      <c r="B3" s="478" t="s">
        <v>11</v>
      </c>
      <c r="C3" s="478"/>
      <c r="D3" s="478"/>
      <c r="M3" s="451" t="s">
        <v>164</v>
      </c>
      <c r="N3" s="451"/>
    </row>
    <row r="4" spans="1:16" ht="14" x14ac:dyDescent="0.2">
      <c r="A4" s="455" t="s">
        <v>194</v>
      </c>
      <c r="B4" s="455" t="s">
        <v>2</v>
      </c>
      <c r="C4" s="455" t="s">
        <v>24</v>
      </c>
      <c r="D4" s="455"/>
      <c r="E4" s="455" t="s">
        <v>162</v>
      </c>
      <c r="F4" s="455"/>
      <c r="G4" s="455" t="s">
        <v>25</v>
      </c>
      <c r="H4" s="455"/>
      <c r="I4" s="455" t="s">
        <v>23</v>
      </c>
      <c r="J4" s="455"/>
      <c r="K4" s="455" t="s">
        <v>163</v>
      </c>
      <c r="L4" s="455"/>
      <c r="M4" s="455" t="s">
        <v>26</v>
      </c>
      <c r="N4" s="455"/>
      <c r="O4" s="455" t="s">
        <v>0</v>
      </c>
      <c r="P4" s="455"/>
    </row>
    <row r="5" spans="1:16" ht="15" x14ac:dyDescent="0.2">
      <c r="A5" s="455"/>
      <c r="B5" s="455"/>
      <c r="C5" s="299" t="s">
        <v>27</v>
      </c>
      <c r="D5" s="299" t="s">
        <v>15</v>
      </c>
      <c r="E5" s="299" t="s">
        <v>27</v>
      </c>
      <c r="F5" s="299" t="s">
        <v>15</v>
      </c>
      <c r="G5" s="299" t="s">
        <v>27</v>
      </c>
      <c r="H5" s="299" t="s">
        <v>15</v>
      </c>
      <c r="I5" s="299" t="s">
        <v>27</v>
      </c>
      <c r="J5" s="299" t="s">
        <v>15</v>
      </c>
      <c r="K5" s="299" t="s">
        <v>27</v>
      </c>
      <c r="L5" s="299" t="s">
        <v>15</v>
      </c>
      <c r="M5" s="299" t="s">
        <v>27</v>
      </c>
      <c r="N5" s="299" t="s">
        <v>15</v>
      </c>
      <c r="O5" s="299" t="s">
        <v>27</v>
      </c>
      <c r="P5" s="299" t="s">
        <v>15</v>
      </c>
    </row>
    <row r="6" spans="1:16" ht="13" customHeight="1" x14ac:dyDescent="0.15">
      <c r="A6" s="105">
        <v>1</v>
      </c>
      <c r="B6" s="40" t="s">
        <v>51</v>
      </c>
      <c r="C6" s="281">
        <v>1068</v>
      </c>
      <c r="D6" s="281">
        <v>2818</v>
      </c>
      <c r="E6" s="281">
        <v>11258</v>
      </c>
      <c r="F6" s="281">
        <v>29001</v>
      </c>
      <c r="G6" s="281">
        <v>207</v>
      </c>
      <c r="H6" s="281">
        <v>999</v>
      </c>
      <c r="I6" s="281">
        <v>2295</v>
      </c>
      <c r="J6" s="281">
        <v>38024</v>
      </c>
      <c r="K6" s="281">
        <v>18</v>
      </c>
      <c r="L6" s="281">
        <v>41</v>
      </c>
      <c r="M6" s="281">
        <v>18183</v>
      </c>
      <c r="N6" s="281">
        <v>79053</v>
      </c>
      <c r="O6" s="57">
        <f>C6+E6+G6+I6+K6+M6</f>
        <v>33029</v>
      </c>
      <c r="P6" s="57">
        <f>D6+F6+H6+J6+L6+N6</f>
        <v>149936</v>
      </c>
    </row>
    <row r="7" spans="1:16" ht="13" customHeight="1" x14ac:dyDescent="0.15">
      <c r="A7" s="105">
        <v>2</v>
      </c>
      <c r="B7" s="40" t="s">
        <v>52</v>
      </c>
      <c r="C7" s="281">
        <v>675</v>
      </c>
      <c r="D7" s="281">
        <v>2102.19</v>
      </c>
      <c r="E7" s="281">
        <v>26432</v>
      </c>
      <c r="F7" s="281">
        <v>49990.27</v>
      </c>
      <c r="G7" s="281">
        <v>34</v>
      </c>
      <c r="H7" s="281">
        <v>49.29</v>
      </c>
      <c r="I7" s="281">
        <v>1044</v>
      </c>
      <c r="J7" s="281">
        <v>27132.799999999999</v>
      </c>
      <c r="K7" s="281">
        <v>1</v>
      </c>
      <c r="L7" s="281">
        <v>6.08</v>
      </c>
      <c r="M7" s="281">
        <v>1336</v>
      </c>
      <c r="N7" s="281">
        <v>7855.23</v>
      </c>
      <c r="O7" s="57">
        <f t="shared" ref="O7:O55" si="0">C7+E7+G7+I7+K7+M7</f>
        <v>29522</v>
      </c>
      <c r="P7" s="57">
        <f t="shared" ref="P7:P55" si="1">D7+F7+H7+J7+L7+N7</f>
        <v>87135.86</v>
      </c>
    </row>
    <row r="8" spans="1:16" ht="13" customHeight="1" x14ac:dyDescent="0.15">
      <c r="A8" s="105">
        <v>3</v>
      </c>
      <c r="B8" s="40" t="s">
        <v>53</v>
      </c>
      <c r="C8" s="281">
        <v>151</v>
      </c>
      <c r="D8" s="281">
        <v>721.97</v>
      </c>
      <c r="E8" s="281">
        <v>4175</v>
      </c>
      <c r="F8" s="281">
        <v>11139.06</v>
      </c>
      <c r="G8" s="281">
        <v>76</v>
      </c>
      <c r="H8" s="281">
        <v>324.42</v>
      </c>
      <c r="I8" s="281">
        <v>1805</v>
      </c>
      <c r="J8" s="281">
        <v>5512.69</v>
      </c>
      <c r="K8" s="281">
        <v>3</v>
      </c>
      <c r="L8" s="281">
        <v>5.19</v>
      </c>
      <c r="M8" s="281">
        <v>871</v>
      </c>
      <c r="N8" s="281">
        <v>8041.16</v>
      </c>
      <c r="O8" s="57">
        <f t="shared" si="0"/>
        <v>7081</v>
      </c>
      <c r="P8" s="57">
        <f t="shared" si="1"/>
        <v>25744.489999999998</v>
      </c>
    </row>
    <row r="9" spans="1:16" ht="13" customHeight="1" x14ac:dyDescent="0.15">
      <c r="A9" s="105">
        <v>4</v>
      </c>
      <c r="B9" s="40" t="s">
        <v>54</v>
      </c>
      <c r="C9" s="281">
        <v>740</v>
      </c>
      <c r="D9" s="281">
        <v>4666.6499999999996</v>
      </c>
      <c r="E9" s="281">
        <v>11617</v>
      </c>
      <c r="F9" s="281">
        <v>26607</v>
      </c>
      <c r="G9" s="281">
        <v>2939</v>
      </c>
      <c r="H9" s="281">
        <v>7704.38</v>
      </c>
      <c r="I9" s="281">
        <v>1504</v>
      </c>
      <c r="J9" s="281">
        <v>8405.66</v>
      </c>
      <c r="K9" s="281">
        <v>12</v>
      </c>
      <c r="L9" s="281">
        <v>41.26</v>
      </c>
      <c r="M9" s="281">
        <v>2621</v>
      </c>
      <c r="N9" s="281">
        <v>15362.18</v>
      </c>
      <c r="O9" s="57">
        <f t="shared" si="0"/>
        <v>19433</v>
      </c>
      <c r="P9" s="57">
        <f t="shared" si="1"/>
        <v>62787.130000000005</v>
      </c>
    </row>
    <row r="10" spans="1:16" ht="13" customHeight="1" x14ac:dyDescent="0.15">
      <c r="A10" s="105">
        <v>5</v>
      </c>
      <c r="B10" s="40" t="s">
        <v>55</v>
      </c>
      <c r="C10" s="281">
        <v>4093</v>
      </c>
      <c r="D10" s="281">
        <v>4223</v>
      </c>
      <c r="E10" s="281">
        <v>2052</v>
      </c>
      <c r="F10" s="281">
        <v>5894</v>
      </c>
      <c r="G10" s="281">
        <v>177</v>
      </c>
      <c r="H10" s="281">
        <v>290</v>
      </c>
      <c r="I10" s="281">
        <v>1640</v>
      </c>
      <c r="J10" s="281">
        <v>8992</v>
      </c>
      <c r="K10" s="281">
        <v>14</v>
      </c>
      <c r="L10" s="281">
        <v>18</v>
      </c>
      <c r="M10" s="281">
        <v>3643</v>
      </c>
      <c r="N10" s="281">
        <v>17697</v>
      </c>
      <c r="O10" s="57">
        <f t="shared" si="0"/>
        <v>11619</v>
      </c>
      <c r="P10" s="57">
        <f t="shared" si="1"/>
        <v>37114</v>
      </c>
    </row>
    <row r="11" spans="1:16" ht="13" customHeight="1" x14ac:dyDescent="0.15">
      <c r="A11" s="105">
        <v>6</v>
      </c>
      <c r="B11" s="40" t="s">
        <v>56</v>
      </c>
      <c r="C11" s="281">
        <v>504</v>
      </c>
      <c r="D11" s="281">
        <v>1879</v>
      </c>
      <c r="E11" s="281">
        <v>7146</v>
      </c>
      <c r="F11" s="281">
        <v>15681</v>
      </c>
      <c r="G11" s="281">
        <v>41</v>
      </c>
      <c r="H11" s="281">
        <v>79</v>
      </c>
      <c r="I11" s="281">
        <v>278</v>
      </c>
      <c r="J11" s="281">
        <v>2186</v>
      </c>
      <c r="K11" s="281">
        <v>6</v>
      </c>
      <c r="L11" s="281">
        <v>14</v>
      </c>
      <c r="M11" s="281">
        <v>1256</v>
      </c>
      <c r="N11" s="281">
        <v>3477</v>
      </c>
      <c r="O11" s="57">
        <f t="shared" si="0"/>
        <v>9231</v>
      </c>
      <c r="P11" s="57">
        <f t="shared" si="1"/>
        <v>23316</v>
      </c>
    </row>
    <row r="12" spans="1:16" ht="13" customHeight="1" x14ac:dyDescent="0.15">
      <c r="A12" s="105">
        <v>7</v>
      </c>
      <c r="B12" s="40" t="s">
        <v>57</v>
      </c>
      <c r="C12" s="281">
        <v>16</v>
      </c>
      <c r="D12" s="281">
        <v>57.25</v>
      </c>
      <c r="E12" s="281">
        <v>384</v>
      </c>
      <c r="F12" s="281">
        <v>489</v>
      </c>
      <c r="G12" s="281">
        <v>0</v>
      </c>
      <c r="H12" s="281">
        <v>0</v>
      </c>
      <c r="I12" s="281">
        <v>34</v>
      </c>
      <c r="J12" s="281">
        <v>132</v>
      </c>
      <c r="K12" s="281">
        <v>0</v>
      </c>
      <c r="L12" s="281">
        <v>0</v>
      </c>
      <c r="M12" s="281">
        <v>12</v>
      </c>
      <c r="N12" s="281">
        <v>31.1</v>
      </c>
      <c r="O12" s="57">
        <f t="shared" si="0"/>
        <v>446</v>
      </c>
      <c r="P12" s="57">
        <f t="shared" si="1"/>
        <v>709.35</v>
      </c>
    </row>
    <row r="13" spans="1:16" ht="13" customHeight="1" x14ac:dyDescent="0.15">
      <c r="A13" s="105">
        <v>8</v>
      </c>
      <c r="B13" s="40" t="s">
        <v>178</v>
      </c>
      <c r="C13" s="281">
        <v>39</v>
      </c>
      <c r="D13" s="281">
        <v>236</v>
      </c>
      <c r="E13" s="281">
        <v>408</v>
      </c>
      <c r="F13" s="281">
        <v>1125</v>
      </c>
      <c r="G13" s="281">
        <v>0</v>
      </c>
      <c r="H13" s="281">
        <v>0</v>
      </c>
      <c r="I13" s="281">
        <v>418</v>
      </c>
      <c r="J13" s="281">
        <v>3231</v>
      </c>
      <c r="K13" s="281">
        <v>0</v>
      </c>
      <c r="L13" s="281">
        <v>0</v>
      </c>
      <c r="M13" s="281">
        <v>151</v>
      </c>
      <c r="N13" s="281">
        <v>979</v>
      </c>
      <c r="O13" s="57">
        <f t="shared" si="0"/>
        <v>1016</v>
      </c>
      <c r="P13" s="57">
        <f t="shared" si="1"/>
        <v>5571</v>
      </c>
    </row>
    <row r="14" spans="1:16" ht="13" customHeight="1" x14ac:dyDescent="0.15">
      <c r="A14" s="105">
        <v>9</v>
      </c>
      <c r="B14" s="40" t="s">
        <v>58</v>
      </c>
      <c r="C14" s="281">
        <v>591</v>
      </c>
      <c r="D14" s="281">
        <v>2702.49</v>
      </c>
      <c r="E14" s="281">
        <v>10713</v>
      </c>
      <c r="F14" s="281">
        <v>19127.55</v>
      </c>
      <c r="G14" s="281">
        <v>61</v>
      </c>
      <c r="H14" s="281">
        <v>170.5</v>
      </c>
      <c r="I14" s="281">
        <v>1041</v>
      </c>
      <c r="J14" s="281">
        <v>5566.05</v>
      </c>
      <c r="K14" s="281">
        <v>2</v>
      </c>
      <c r="L14" s="281">
        <v>1.59</v>
      </c>
      <c r="M14" s="281">
        <v>1407</v>
      </c>
      <c r="N14" s="281">
        <v>7724.31</v>
      </c>
      <c r="O14" s="57">
        <f t="shared" si="0"/>
        <v>13815</v>
      </c>
      <c r="P14" s="57">
        <f t="shared" si="1"/>
        <v>35292.49</v>
      </c>
    </row>
    <row r="15" spans="1:16" ht="13" customHeight="1" x14ac:dyDescent="0.15">
      <c r="A15" s="105">
        <v>10</v>
      </c>
      <c r="B15" s="40" t="s">
        <v>64</v>
      </c>
      <c r="C15" s="281">
        <v>2984</v>
      </c>
      <c r="D15" s="281">
        <v>13694</v>
      </c>
      <c r="E15" s="281">
        <v>45393</v>
      </c>
      <c r="F15" s="281">
        <v>106429</v>
      </c>
      <c r="G15" s="281">
        <v>301</v>
      </c>
      <c r="H15" s="281">
        <v>971</v>
      </c>
      <c r="I15" s="281">
        <v>2620</v>
      </c>
      <c r="J15" s="281">
        <v>16803</v>
      </c>
      <c r="K15" s="281">
        <v>12</v>
      </c>
      <c r="L15" s="281">
        <v>45</v>
      </c>
      <c r="M15" s="281">
        <v>4556</v>
      </c>
      <c r="N15" s="281">
        <v>29951</v>
      </c>
      <c r="O15" s="57">
        <f t="shared" si="0"/>
        <v>55866</v>
      </c>
      <c r="P15" s="57">
        <f t="shared" si="1"/>
        <v>167893</v>
      </c>
    </row>
    <row r="16" spans="1:16" ht="13" customHeight="1" x14ac:dyDescent="0.15">
      <c r="A16" s="105">
        <v>11</v>
      </c>
      <c r="B16" s="40" t="s">
        <v>179</v>
      </c>
      <c r="C16" s="281">
        <v>197</v>
      </c>
      <c r="D16" s="281">
        <v>1102</v>
      </c>
      <c r="E16" s="281">
        <v>5431</v>
      </c>
      <c r="F16" s="281">
        <v>9236</v>
      </c>
      <c r="G16" s="281">
        <v>16</v>
      </c>
      <c r="H16" s="281">
        <v>45</v>
      </c>
      <c r="I16" s="281">
        <v>602</v>
      </c>
      <c r="J16" s="281">
        <v>2386</v>
      </c>
      <c r="K16" s="281">
        <v>5</v>
      </c>
      <c r="L16" s="281">
        <v>5</v>
      </c>
      <c r="M16" s="281">
        <v>434</v>
      </c>
      <c r="N16" s="281">
        <v>3719</v>
      </c>
      <c r="O16" s="57">
        <f t="shared" si="0"/>
        <v>6685</v>
      </c>
      <c r="P16" s="57">
        <f t="shared" si="1"/>
        <v>16493</v>
      </c>
    </row>
    <row r="17" spans="1:16" ht="13" customHeight="1" x14ac:dyDescent="0.15">
      <c r="A17" s="105">
        <v>12</v>
      </c>
      <c r="B17" s="40" t="s">
        <v>60</v>
      </c>
      <c r="C17" s="281">
        <v>795</v>
      </c>
      <c r="D17" s="281">
        <v>3671</v>
      </c>
      <c r="E17" s="281">
        <v>14327</v>
      </c>
      <c r="F17" s="281">
        <v>25458</v>
      </c>
      <c r="G17" s="281">
        <v>187</v>
      </c>
      <c r="H17" s="281">
        <v>308</v>
      </c>
      <c r="I17" s="281">
        <v>986</v>
      </c>
      <c r="J17" s="281">
        <v>19479</v>
      </c>
      <c r="K17" s="281">
        <v>60</v>
      </c>
      <c r="L17" s="281">
        <v>295</v>
      </c>
      <c r="M17" s="281">
        <v>2967</v>
      </c>
      <c r="N17" s="281">
        <v>25378</v>
      </c>
      <c r="O17" s="57">
        <f t="shared" si="0"/>
        <v>19322</v>
      </c>
      <c r="P17" s="57">
        <f t="shared" si="1"/>
        <v>74589</v>
      </c>
    </row>
    <row r="18" spans="1:16" s="69" customFormat="1" ht="13" customHeight="1" x14ac:dyDescent="0.15">
      <c r="A18" s="293"/>
      <c r="B18" s="42" t="s">
        <v>215</v>
      </c>
      <c r="C18" s="282">
        <f>SUM(C6:C17)</f>
        <v>11853</v>
      </c>
      <c r="D18" s="282">
        <f t="shared" ref="D18:P18" si="2">SUM(D6:D17)</f>
        <v>37873.550000000003</v>
      </c>
      <c r="E18" s="282">
        <f t="shared" si="2"/>
        <v>139336</v>
      </c>
      <c r="F18" s="282">
        <f t="shared" si="2"/>
        <v>300176.88</v>
      </c>
      <c r="G18" s="282">
        <f t="shared" si="2"/>
        <v>4039</v>
      </c>
      <c r="H18" s="282">
        <f t="shared" si="2"/>
        <v>10940.59</v>
      </c>
      <c r="I18" s="282">
        <f t="shared" si="2"/>
        <v>14267</v>
      </c>
      <c r="J18" s="282">
        <f t="shared" si="2"/>
        <v>137850.20000000001</v>
      </c>
      <c r="K18" s="282">
        <f t="shared" si="2"/>
        <v>133</v>
      </c>
      <c r="L18" s="282">
        <f t="shared" si="2"/>
        <v>472.12</v>
      </c>
      <c r="M18" s="282">
        <f t="shared" si="2"/>
        <v>37437</v>
      </c>
      <c r="N18" s="282">
        <f t="shared" si="2"/>
        <v>199267.98</v>
      </c>
      <c r="O18" s="282">
        <f t="shared" si="2"/>
        <v>207065</v>
      </c>
      <c r="P18" s="282">
        <f t="shared" si="2"/>
        <v>686581.32</v>
      </c>
    </row>
    <row r="19" spans="1:16" ht="13" customHeight="1" x14ac:dyDescent="0.15">
      <c r="A19" s="105">
        <v>13</v>
      </c>
      <c r="B19" s="40" t="s">
        <v>41</v>
      </c>
      <c r="C19" s="281">
        <v>105</v>
      </c>
      <c r="D19" s="281">
        <v>555.73</v>
      </c>
      <c r="E19" s="281">
        <v>6114</v>
      </c>
      <c r="F19" s="281">
        <v>14188.47</v>
      </c>
      <c r="G19" s="281">
        <v>4</v>
      </c>
      <c r="H19" s="281">
        <v>4.83</v>
      </c>
      <c r="I19" s="281">
        <v>922</v>
      </c>
      <c r="J19" s="281">
        <v>4752.2299999999996</v>
      </c>
      <c r="K19" s="281">
        <v>2</v>
      </c>
      <c r="L19" s="281">
        <v>4.2300000000000004</v>
      </c>
      <c r="M19" s="281">
        <v>0</v>
      </c>
      <c r="N19" s="281">
        <v>0</v>
      </c>
      <c r="O19" s="57">
        <f t="shared" si="0"/>
        <v>7147</v>
      </c>
      <c r="P19" s="57">
        <f t="shared" si="1"/>
        <v>19505.489999999998</v>
      </c>
    </row>
    <row r="20" spans="1:16" ht="13" customHeight="1" x14ac:dyDescent="0.15">
      <c r="A20" s="105">
        <v>14</v>
      </c>
      <c r="B20" s="40" t="s">
        <v>180</v>
      </c>
      <c r="C20" s="281">
        <v>398</v>
      </c>
      <c r="D20" s="281">
        <v>234.38</v>
      </c>
      <c r="E20" s="281">
        <v>123278</v>
      </c>
      <c r="F20" s="281">
        <v>49021.45</v>
      </c>
      <c r="G20" s="281">
        <v>17</v>
      </c>
      <c r="H20" s="281">
        <v>7.79</v>
      </c>
      <c r="I20" s="281">
        <v>183</v>
      </c>
      <c r="J20" s="281">
        <v>74.64</v>
      </c>
      <c r="K20" s="281">
        <v>4</v>
      </c>
      <c r="L20" s="281">
        <v>1.48</v>
      </c>
      <c r="M20" s="281">
        <v>58</v>
      </c>
      <c r="N20" s="281">
        <v>70.53</v>
      </c>
      <c r="O20" s="57">
        <f t="shared" si="0"/>
        <v>123938</v>
      </c>
      <c r="P20" s="57">
        <f t="shared" si="1"/>
        <v>49410.27</v>
      </c>
    </row>
    <row r="21" spans="1:16" ht="13" customHeight="1" x14ac:dyDescent="0.15">
      <c r="A21" s="105">
        <v>15</v>
      </c>
      <c r="B21" s="40" t="s">
        <v>181</v>
      </c>
      <c r="C21" s="281">
        <v>48</v>
      </c>
      <c r="D21" s="281">
        <v>90</v>
      </c>
      <c r="E21" s="281">
        <v>60</v>
      </c>
      <c r="F21" s="281">
        <v>102</v>
      </c>
      <c r="G21" s="281">
        <v>0</v>
      </c>
      <c r="H21" s="281">
        <v>0</v>
      </c>
      <c r="I21" s="281">
        <v>42</v>
      </c>
      <c r="J21" s="281">
        <v>60</v>
      </c>
      <c r="K21" s="281">
        <v>0</v>
      </c>
      <c r="L21" s="281">
        <v>0</v>
      </c>
      <c r="M21" s="281">
        <v>28</v>
      </c>
      <c r="N21" s="281">
        <v>85</v>
      </c>
      <c r="O21" s="57">
        <f t="shared" si="0"/>
        <v>178</v>
      </c>
      <c r="P21" s="57">
        <f t="shared" si="1"/>
        <v>337</v>
      </c>
    </row>
    <row r="22" spans="1:16" ht="13" customHeight="1" x14ac:dyDescent="0.15">
      <c r="A22" s="105">
        <v>16</v>
      </c>
      <c r="B22" s="40" t="s">
        <v>45</v>
      </c>
      <c r="C22" s="281">
        <v>0</v>
      </c>
      <c r="D22" s="281">
        <v>0</v>
      </c>
      <c r="E22" s="281">
        <v>2</v>
      </c>
      <c r="F22" s="281">
        <v>19.059999999999999</v>
      </c>
      <c r="G22" s="281">
        <v>0</v>
      </c>
      <c r="H22" s="281">
        <v>0</v>
      </c>
      <c r="I22" s="281">
        <v>1</v>
      </c>
      <c r="J22" s="281">
        <v>0.89</v>
      </c>
      <c r="K22" s="281">
        <v>0</v>
      </c>
      <c r="L22" s="281">
        <v>0</v>
      </c>
      <c r="M22" s="281">
        <v>0</v>
      </c>
      <c r="N22" s="281">
        <v>0</v>
      </c>
      <c r="O22" s="57">
        <f t="shared" si="0"/>
        <v>3</v>
      </c>
      <c r="P22" s="57">
        <f t="shared" si="1"/>
        <v>19.95</v>
      </c>
    </row>
    <row r="23" spans="1:16" ht="13" customHeight="1" x14ac:dyDescent="0.15">
      <c r="A23" s="105">
        <v>17</v>
      </c>
      <c r="B23" s="40" t="s">
        <v>182</v>
      </c>
      <c r="C23" s="281">
        <v>8</v>
      </c>
      <c r="D23" s="281">
        <v>22</v>
      </c>
      <c r="E23" s="281">
        <v>6302</v>
      </c>
      <c r="F23" s="281">
        <v>2905</v>
      </c>
      <c r="G23" s="281">
        <v>0</v>
      </c>
      <c r="H23" s="281">
        <v>0</v>
      </c>
      <c r="I23" s="281">
        <v>41</v>
      </c>
      <c r="J23" s="281">
        <v>299</v>
      </c>
      <c r="K23" s="281">
        <v>0</v>
      </c>
      <c r="L23" s="281">
        <v>0</v>
      </c>
      <c r="M23" s="281">
        <v>115</v>
      </c>
      <c r="N23" s="281">
        <v>1530</v>
      </c>
      <c r="O23" s="57">
        <f t="shared" si="0"/>
        <v>6466</v>
      </c>
      <c r="P23" s="57">
        <f t="shared" si="1"/>
        <v>4756</v>
      </c>
    </row>
    <row r="24" spans="1:16" ht="13" customHeight="1" x14ac:dyDescent="0.15">
      <c r="A24" s="105">
        <v>18</v>
      </c>
      <c r="B24" s="40" t="s">
        <v>183</v>
      </c>
      <c r="C24" s="281">
        <v>0</v>
      </c>
      <c r="D24" s="281">
        <v>0</v>
      </c>
      <c r="E24" s="281">
        <v>9</v>
      </c>
      <c r="F24" s="281">
        <v>14.59</v>
      </c>
      <c r="G24" s="281">
        <v>0</v>
      </c>
      <c r="H24" s="281">
        <v>0</v>
      </c>
      <c r="I24" s="281">
        <v>0</v>
      </c>
      <c r="J24" s="281">
        <v>0</v>
      </c>
      <c r="K24" s="281">
        <v>0</v>
      </c>
      <c r="L24" s="281">
        <v>0</v>
      </c>
      <c r="M24" s="281">
        <v>0</v>
      </c>
      <c r="N24" s="281">
        <v>0</v>
      </c>
      <c r="O24" s="57">
        <f t="shared" si="0"/>
        <v>9</v>
      </c>
      <c r="P24" s="57">
        <f t="shared" si="1"/>
        <v>14.59</v>
      </c>
    </row>
    <row r="25" spans="1:16" ht="13" customHeight="1" x14ac:dyDescent="0.15">
      <c r="A25" s="105">
        <v>19</v>
      </c>
      <c r="B25" s="40" t="s">
        <v>184</v>
      </c>
      <c r="C25" s="281">
        <v>36</v>
      </c>
      <c r="D25" s="281">
        <v>134</v>
      </c>
      <c r="E25" s="281">
        <v>65</v>
      </c>
      <c r="F25" s="281">
        <v>376</v>
      </c>
      <c r="G25" s="281">
        <v>3</v>
      </c>
      <c r="H25" s="281">
        <v>26</v>
      </c>
      <c r="I25" s="281">
        <v>78</v>
      </c>
      <c r="J25" s="281">
        <v>278</v>
      </c>
      <c r="K25" s="281">
        <v>0</v>
      </c>
      <c r="L25" s="281">
        <v>0</v>
      </c>
      <c r="M25" s="281">
        <v>256</v>
      </c>
      <c r="N25" s="281">
        <v>1265</v>
      </c>
      <c r="O25" s="57">
        <f t="shared" si="0"/>
        <v>438</v>
      </c>
      <c r="P25" s="57">
        <f t="shared" si="1"/>
        <v>2079</v>
      </c>
    </row>
    <row r="26" spans="1:16" ht="13" customHeight="1" x14ac:dyDescent="0.15">
      <c r="A26" s="105">
        <v>20</v>
      </c>
      <c r="B26" s="40" t="s">
        <v>65</v>
      </c>
      <c r="C26" s="281">
        <v>26</v>
      </c>
      <c r="D26" s="281">
        <v>83.05</v>
      </c>
      <c r="E26" s="281">
        <v>2954</v>
      </c>
      <c r="F26" s="281">
        <v>12264</v>
      </c>
      <c r="G26" s="281">
        <v>3</v>
      </c>
      <c r="H26" s="281">
        <v>3.61</v>
      </c>
      <c r="I26" s="281">
        <v>863</v>
      </c>
      <c r="J26" s="281">
        <v>4370.8999999999996</v>
      </c>
      <c r="K26" s="281">
        <v>6</v>
      </c>
      <c r="L26" s="281">
        <v>22.52</v>
      </c>
      <c r="M26" s="281">
        <v>205</v>
      </c>
      <c r="N26" s="281">
        <v>1377.25</v>
      </c>
      <c r="O26" s="57">
        <f t="shared" si="0"/>
        <v>4057</v>
      </c>
      <c r="P26" s="57">
        <f t="shared" si="1"/>
        <v>18121.329999999998</v>
      </c>
    </row>
    <row r="27" spans="1:16" ht="13" customHeight="1" x14ac:dyDescent="0.15">
      <c r="A27" s="105">
        <v>21</v>
      </c>
      <c r="B27" s="40" t="s">
        <v>66</v>
      </c>
      <c r="C27" s="281">
        <v>440</v>
      </c>
      <c r="D27" s="281">
        <v>1919</v>
      </c>
      <c r="E27" s="281">
        <v>13476</v>
      </c>
      <c r="F27" s="281">
        <v>50342</v>
      </c>
      <c r="G27" s="281">
        <v>45</v>
      </c>
      <c r="H27" s="281">
        <v>100</v>
      </c>
      <c r="I27" s="281">
        <v>1512</v>
      </c>
      <c r="J27" s="281">
        <v>19754</v>
      </c>
      <c r="K27" s="281">
        <v>131</v>
      </c>
      <c r="L27" s="281">
        <v>228</v>
      </c>
      <c r="M27" s="281">
        <v>798</v>
      </c>
      <c r="N27" s="281">
        <v>12399</v>
      </c>
      <c r="O27" s="57">
        <f t="shared" si="0"/>
        <v>16402</v>
      </c>
      <c r="P27" s="57">
        <f t="shared" si="1"/>
        <v>84742</v>
      </c>
    </row>
    <row r="28" spans="1:16" ht="13" customHeight="1" x14ac:dyDescent="0.15">
      <c r="A28" s="105">
        <v>22</v>
      </c>
      <c r="B28" s="40" t="s">
        <v>75</v>
      </c>
      <c r="C28" s="281">
        <v>175</v>
      </c>
      <c r="D28" s="281">
        <v>770</v>
      </c>
      <c r="E28" s="281">
        <v>5477</v>
      </c>
      <c r="F28" s="281">
        <v>6219</v>
      </c>
      <c r="G28" s="281">
        <v>8</v>
      </c>
      <c r="H28" s="281">
        <v>91.55</v>
      </c>
      <c r="I28" s="281">
        <v>315</v>
      </c>
      <c r="J28" s="281">
        <v>1713</v>
      </c>
      <c r="K28" s="281">
        <v>0</v>
      </c>
      <c r="L28" s="281">
        <v>0</v>
      </c>
      <c r="M28" s="281">
        <v>948</v>
      </c>
      <c r="N28" s="281">
        <v>9521</v>
      </c>
      <c r="O28" s="57">
        <f t="shared" si="0"/>
        <v>6923</v>
      </c>
      <c r="P28" s="57">
        <f t="shared" si="1"/>
        <v>18314.55</v>
      </c>
    </row>
    <row r="29" spans="1:16" ht="13" customHeight="1" x14ac:dyDescent="0.15">
      <c r="A29" s="105">
        <v>23</v>
      </c>
      <c r="B29" s="40" t="s">
        <v>379</v>
      </c>
      <c r="C29" s="281">
        <v>0</v>
      </c>
      <c r="D29" s="281">
        <v>0</v>
      </c>
      <c r="E29" s="281">
        <v>9</v>
      </c>
      <c r="F29" s="281">
        <v>41</v>
      </c>
      <c r="G29" s="281">
        <v>0</v>
      </c>
      <c r="H29" s="281">
        <v>0</v>
      </c>
      <c r="I29" s="281">
        <v>1</v>
      </c>
      <c r="J29" s="281">
        <v>1</v>
      </c>
      <c r="K29" s="281">
        <v>0</v>
      </c>
      <c r="L29" s="281">
        <v>0</v>
      </c>
      <c r="M29" s="281">
        <v>1</v>
      </c>
      <c r="N29" s="281">
        <v>6</v>
      </c>
      <c r="O29" s="57">
        <f t="shared" si="0"/>
        <v>11</v>
      </c>
      <c r="P29" s="57">
        <f t="shared" si="1"/>
        <v>48</v>
      </c>
    </row>
    <row r="30" spans="1:16" ht="13" customHeight="1" x14ac:dyDescent="0.15">
      <c r="A30" s="105">
        <v>24</v>
      </c>
      <c r="B30" s="40" t="s">
        <v>185</v>
      </c>
      <c r="C30" s="281">
        <v>424</v>
      </c>
      <c r="D30" s="281">
        <v>141</v>
      </c>
      <c r="E30" s="281">
        <v>84192</v>
      </c>
      <c r="F30" s="281">
        <v>27228</v>
      </c>
      <c r="G30" s="281">
        <v>8</v>
      </c>
      <c r="H30" s="281">
        <v>12</v>
      </c>
      <c r="I30" s="281">
        <v>428</v>
      </c>
      <c r="J30" s="281">
        <v>2174</v>
      </c>
      <c r="K30" s="281">
        <v>6</v>
      </c>
      <c r="L30" s="281">
        <v>80</v>
      </c>
      <c r="M30" s="281">
        <v>512</v>
      </c>
      <c r="N30" s="281">
        <v>3650</v>
      </c>
      <c r="O30" s="57">
        <f t="shared" si="0"/>
        <v>85570</v>
      </c>
      <c r="P30" s="57">
        <f t="shared" si="1"/>
        <v>33285</v>
      </c>
    </row>
    <row r="31" spans="1:16" ht="13" customHeight="1" x14ac:dyDescent="0.15">
      <c r="A31" s="105">
        <v>25</v>
      </c>
      <c r="B31" s="40" t="s">
        <v>186</v>
      </c>
      <c r="C31" s="281">
        <v>1</v>
      </c>
      <c r="D31" s="281">
        <v>1.95</v>
      </c>
      <c r="E31" s="281">
        <v>185</v>
      </c>
      <c r="F31" s="281">
        <v>780</v>
      </c>
      <c r="G31" s="281">
        <v>12</v>
      </c>
      <c r="H31" s="281">
        <v>65</v>
      </c>
      <c r="I31" s="281">
        <v>5</v>
      </c>
      <c r="J31" s="281">
        <v>57</v>
      </c>
      <c r="K31" s="281">
        <v>0</v>
      </c>
      <c r="L31" s="281">
        <v>0</v>
      </c>
      <c r="M31" s="281">
        <v>1</v>
      </c>
      <c r="N31" s="281">
        <v>18</v>
      </c>
      <c r="O31" s="57">
        <f t="shared" si="0"/>
        <v>204</v>
      </c>
      <c r="P31" s="57">
        <f t="shared" si="1"/>
        <v>921.95</v>
      </c>
    </row>
    <row r="32" spans="1:16" ht="13" customHeight="1" x14ac:dyDescent="0.15">
      <c r="A32" s="105">
        <v>26</v>
      </c>
      <c r="B32" s="40" t="s">
        <v>187</v>
      </c>
      <c r="C32" s="281">
        <v>3</v>
      </c>
      <c r="D32" s="281">
        <v>13.57</v>
      </c>
      <c r="E32" s="281">
        <v>77</v>
      </c>
      <c r="F32" s="281">
        <v>587.6</v>
      </c>
      <c r="G32" s="281">
        <v>0</v>
      </c>
      <c r="H32" s="281">
        <v>0</v>
      </c>
      <c r="I32" s="281">
        <v>1</v>
      </c>
      <c r="J32" s="281">
        <v>3.32</v>
      </c>
      <c r="K32" s="281">
        <v>0</v>
      </c>
      <c r="L32" s="281">
        <v>0</v>
      </c>
      <c r="M32" s="281">
        <v>12</v>
      </c>
      <c r="N32" s="281">
        <v>158.69999999999999</v>
      </c>
      <c r="O32" s="57">
        <f t="shared" si="0"/>
        <v>93</v>
      </c>
      <c r="P32" s="57">
        <f t="shared" si="1"/>
        <v>763.19</v>
      </c>
    </row>
    <row r="33" spans="1:16" ht="13" customHeight="1" x14ac:dyDescent="0.15">
      <c r="A33" s="105">
        <v>27</v>
      </c>
      <c r="B33" s="40" t="s">
        <v>188</v>
      </c>
      <c r="C33" s="281">
        <v>0</v>
      </c>
      <c r="D33" s="281">
        <v>0</v>
      </c>
      <c r="E33" s="281">
        <v>0</v>
      </c>
      <c r="F33" s="281">
        <v>0</v>
      </c>
      <c r="G33" s="281">
        <v>0</v>
      </c>
      <c r="H33" s="281">
        <v>0</v>
      </c>
      <c r="I33" s="281">
        <v>0</v>
      </c>
      <c r="J33" s="281">
        <v>0</v>
      </c>
      <c r="K33" s="281">
        <v>0</v>
      </c>
      <c r="L33" s="281">
        <v>0</v>
      </c>
      <c r="M33" s="281">
        <v>0</v>
      </c>
      <c r="N33" s="281">
        <v>0</v>
      </c>
      <c r="O33" s="57">
        <f t="shared" si="0"/>
        <v>0</v>
      </c>
      <c r="P33" s="57">
        <f t="shared" si="1"/>
        <v>0</v>
      </c>
    </row>
    <row r="34" spans="1:16" ht="13" customHeight="1" x14ac:dyDescent="0.15">
      <c r="A34" s="105">
        <v>28</v>
      </c>
      <c r="B34" s="40" t="s">
        <v>67</v>
      </c>
      <c r="C34" s="281">
        <v>51</v>
      </c>
      <c r="D34" s="281">
        <v>72.239999999999995</v>
      </c>
      <c r="E34" s="281">
        <v>1615</v>
      </c>
      <c r="F34" s="281">
        <v>7621.89</v>
      </c>
      <c r="G34" s="281">
        <v>15</v>
      </c>
      <c r="H34" s="281">
        <v>58.4</v>
      </c>
      <c r="I34" s="281">
        <v>459</v>
      </c>
      <c r="J34" s="281">
        <v>5830.2</v>
      </c>
      <c r="K34" s="281">
        <v>7</v>
      </c>
      <c r="L34" s="281">
        <v>589.66999999999996</v>
      </c>
      <c r="M34" s="281">
        <v>464</v>
      </c>
      <c r="N34" s="281">
        <v>10026.73</v>
      </c>
      <c r="O34" s="57">
        <f t="shared" si="0"/>
        <v>2611</v>
      </c>
      <c r="P34" s="57">
        <f t="shared" si="1"/>
        <v>24199.129999999997</v>
      </c>
    </row>
    <row r="35" spans="1:16" ht="13" customHeight="1" x14ac:dyDescent="0.15">
      <c r="A35" s="105">
        <v>29</v>
      </c>
      <c r="B35" s="40" t="s">
        <v>189</v>
      </c>
      <c r="C35" s="281">
        <v>0</v>
      </c>
      <c r="D35" s="281">
        <v>0</v>
      </c>
      <c r="E35" s="281">
        <v>3</v>
      </c>
      <c r="F35" s="281">
        <v>3.7</v>
      </c>
      <c r="G35" s="281">
        <v>0</v>
      </c>
      <c r="H35" s="281">
        <v>0</v>
      </c>
      <c r="I35" s="281">
        <v>0</v>
      </c>
      <c r="J35" s="281">
        <v>0</v>
      </c>
      <c r="K35" s="281">
        <v>0</v>
      </c>
      <c r="L35" s="281">
        <v>0</v>
      </c>
      <c r="M35" s="281">
        <v>0</v>
      </c>
      <c r="N35" s="281">
        <v>0</v>
      </c>
      <c r="O35" s="57">
        <f t="shared" si="0"/>
        <v>3</v>
      </c>
      <c r="P35" s="57">
        <f t="shared" si="1"/>
        <v>3.7</v>
      </c>
    </row>
    <row r="36" spans="1:16" ht="13" customHeight="1" x14ac:dyDescent="0.15">
      <c r="A36" s="105">
        <v>30</v>
      </c>
      <c r="B36" s="40" t="s">
        <v>190</v>
      </c>
      <c r="C36" s="281">
        <v>183</v>
      </c>
      <c r="D36" s="281">
        <v>37</v>
      </c>
      <c r="E36" s="281">
        <v>9916</v>
      </c>
      <c r="F36" s="281">
        <v>2133</v>
      </c>
      <c r="G36" s="281">
        <v>28</v>
      </c>
      <c r="H36" s="281">
        <v>5</v>
      </c>
      <c r="I36" s="281">
        <v>88</v>
      </c>
      <c r="J36" s="281">
        <v>40</v>
      </c>
      <c r="K36" s="281">
        <v>73</v>
      </c>
      <c r="L36" s="281">
        <v>186</v>
      </c>
      <c r="M36" s="281">
        <v>0</v>
      </c>
      <c r="N36" s="281">
        <v>0</v>
      </c>
      <c r="O36" s="57">
        <f t="shared" si="0"/>
        <v>10288</v>
      </c>
      <c r="P36" s="57">
        <f t="shared" si="1"/>
        <v>2401</v>
      </c>
    </row>
    <row r="37" spans="1:16" ht="13" customHeight="1" x14ac:dyDescent="0.15">
      <c r="A37" s="105">
        <v>31</v>
      </c>
      <c r="B37" s="40" t="s">
        <v>191</v>
      </c>
      <c r="C37" s="281">
        <v>60</v>
      </c>
      <c r="D37" s="281">
        <v>160</v>
      </c>
      <c r="E37" s="281">
        <v>10</v>
      </c>
      <c r="F37" s="281">
        <v>26</v>
      </c>
      <c r="G37" s="281">
        <v>0</v>
      </c>
      <c r="H37" s="281">
        <v>0</v>
      </c>
      <c r="I37" s="281">
        <v>0</v>
      </c>
      <c r="J37" s="281">
        <v>0</v>
      </c>
      <c r="K37" s="281">
        <v>0</v>
      </c>
      <c r="L37" s="281">
        <v>0</v>
      </c>
      <c r="M37" s="281">
        <v>0</v>
      </c>
      <c r="N37" s="281">
        <v>0</v>
      </c>
      <c r="O37" s="57">
        <f t="shared" si="0"/>
        <v>70</v>
      </c>
      <c r="P37" s="57">
        <f t="shared" si="1"/>
        <v>186</v>
      </c>
    </row>
    <row r="38" spans="1:16" ht="13" customHeight="1" x14ac:dyDescent="0.15">
      <c r="A38" s="105">
        <v>32</v>
      </c>
      <c r="B38" s="40" t="s">
        <v>71</v>
      </c>
      <c r="C38" s="281">
        <v>0</v>
      </c>
      <c r="D38" s="281">
        <v>0</v>
      </c>
      <c r="E38" s="281">
        <v>0</v>
      </c>
      <c r="F38" s="281">
        <v>0</v>
      </c>
      <c r="G38" s="281">
        <v>0</v>
      </c>
      <c r="H38" s="281">
        <v>0</v>
      </c>
      <c r="I38" s="281">
        <v>0</v>
      </c>
      <c r="J38" s="281">
        <v>0</v>
      </c>
      <c r="K38" s="281">
        <v>0</v>
      </c>
      <c r="L38" s="281">
        <v>0</v>
      </c>
      <c r="M38" s="281">
        <v>0</v>
      </c>
      <c r="N38" s="281">
        <v>0</v>
      </c>
      <c r="O38" s="57">
        <f t="shared" si="0"/>
        <v>0</v>
      </c>
      <c r="P38" s="57">
        <f t="shared" si="1"/>
        <v>0</v>
      </c>
    </row>
    <row r="39" spans="1:16" ht="13" customHeight="1" x14ac:dyDescent="0.15">
      <c r="A39" s="105">
        <v>33</v>
      </c>
      <c r="B39" s="40" t="s">
        <v>192</v>
      </c>
      <c r="C39" s="281">
        <v>0</v>
      </c>
      <c r="D39" s="281">
        <v>0</v>
      </c>
      <c r="E39" s="281">
        <v>43</v>
      </c>
      <c r="F39" s="281">
        <v>251</v>
      </c>
      <c r="G39" s="281">
        <v>0</v>
      </c>
      <c r="H39" s="281">
        <v>0</v>
      </c>
      <c r="I39" s="281">
        <v>3</v>
      </c>
      <c r="J39" s="281">
        <v>25</v>
      </c>
      <c r="K39" s="281">
        <v>0</v>
      </c>
      <c r="L39" s="281">
        <v>0</v>
      </c>
      <c r="M39" s="281">
        <v>7</v>
      </c>
      <c r="N39" s="281">
        <v>75</v>
      </c>
      <c r="O39" s="57">
        <f t="shared" si="0"/>
        <v>53</v>
      </c>
      <c r="P39" s="57">
        <f t="shared" si="1"/>
        <v>351</v>
      </c>
    </row>
    <row r="40" spans="1:16" ht="13" customHeight="1" x14ac:dyDescent="0.15">
      <c r="A40" s="105">
        <v>34</v>
      </c>
      <c r="B40" s="40" t="s">
        <v>70</v>
      </c>
      <c r="C40" s="281">
        <v>40</v>
      </c>
      <c r="D40" s="281">
        <v>65</v>
      </c>
      <c r="E40" s="281">
        <v>6987</v>
      </c>
      <c r="F40" s="281">
        <v>3564</v>
      </c>
      <c r="G40" s="281">
        <v>12</v>
      </c>
      <c r="H40" s="281">
        <v>2</v>
      </c>
      <c r="I40" s="281">
        <v>151</v>
      </c>
      <c r="J40" s="281">
        <v>806</v>
      </c>
      <c r="K40" s="281">
        <v>0</v>
      </c>
      <c r="L40" s="281">
        <v>0</v>
      </c>
      <c r="M40" s="281">
        <v>128</v>
      </c>
      <c r="N40" s="281">
        <v>3517</v>
      </c>
      <c r="O40" s="57">
        <f t="shared" si="0"/>
        <v>7318</v>
      </c>
      <c r="P40" s="57">
        <f t="shared" si="1"/>
        <v>7954</v>
      </c>
    </row>
    <row r="41" spans="1:16" s="69" customFormat="1" ht="13" customHeight="1" x14ac:dyDescent="0.15">
      <c r="A41" s="293"/>
      <c r="B41" s="42" t="s">
        <v>213</v>
      </c>
      <c r="C41" s="282">
        <f>SUM(C19:C40)</f>
        <v>1998</v>
      </c>
      <c r="D41" s="282">
        <f t="shared" ref="D41:P41" si="3">SUM(D19:D40)</f>
        <v>4298.92</v>
      </c>
      <c r="E41" s="282">
        <f t="shared" si="3"/>
        <v>260774</v>
      </c>
      <c r="F41" s="282">
        <f t="shared" si="3"/>
        <v>177687.76000000004</v>
      </c>
      <c r="G41" s="282">
        <f t="shared" si="3"/>
        <v>155</v>
      </c>
      <c r="H41" s="282">
        <f t="shared" si="3"/>
        <v>376.18</v>
      </c>
      <c r="I41" s="282">
        <f t="shared" si="3"/>
        <v>5093</v>
      </c>
      <c r="J41" s="282">
        <f t="shared" si="3"/>
        <v>40239.18</v>
      </c>
      <c r="K41" s="282">
        <f t="shared" si="3"/>
        <v>229</v>
      </c>
      <c r="L41" s="282">
        <f t="shared" si="3"/>
        <v>1111.9000000000001</v>
      </c>
      <c r="M41" s="282">
        <f t="shared" si="3"/>
        <v>3533</v>
      </c>
      <c r="N41" s="282">
        <f t="shared" si="3"/>
        <v>43699.21</v>
      </c>
      <c r="O41" s="282">
        <f t="shared" si="3"/>
        <v>271782</v>
      </c>
      <c r="P41" s="282">
        <f t="shared" si="3"/>
        <v>267413.15000000002</v>
      </c>
    </row>
    <row r="42" spans="1:16" s="69" customFormat="1" ht="13" customHeight="1" x14ac:dyDescent="0.2">
      <c r="A42" s="293"/>
      <c r="B42" s="42" t="s">
        <v>311</v>
      </c>
      <c r="C42" s="68">
        <f>C41+C18</f>
        <v>13851</v>
      </c>
      <c r="D42" s="68">
        <f t="shared" ref="D42:P42" si="4">D41+D18</f>
        <v>42172.47</v>
      </c>
      <c r="E42" s="68">
        <f t="shared" si="4"/>
        <v>400110</v>
      </c>
      <c r="F42" s="68">
        <f t="shared" si="4"/>
        <v>477864.64</v>
      </c>
      <c r="G42" s="68">
        <f t="shared" si="4"/>
        <v>4194</v>
      </c>
      <c r="H42" s="68">
        <f t="shared" si="4"/>
        <v>11316.77</v>
      </c>
      <c r="I42" s="68">
        <f t="shared" si="4"/>
        <v>19360</v>
      </c>
      <c r="J42" s="68">
        <f t="shared" si="4"/>
        <v>178089.38</v>
      </c>
      <c r="K42" s="68">
        <f t="shared" si="4"/>
        <v>362</v>
      </c>
      <c r="L42" s="68">
        <f t="shared" si="4"/>
        <v>1584.02</v>
      </c>
      <c r="M42" s="68">
        <f t="shared" si="4"/>
        <v>40970</v>
      </c>
      <c r="N42" s="68">
        <f t="shared" si="4"/>
        <v>242967.19</v>
      </c>
      <c r="O42" s="68">
        <f t="shared" si="4"/>
        <v>478847</v>
      </c>
      <c r="P42" s="68">
        <f t="shared" si="4"/>
        <v>953994.47</v>
      </c>
    </row>
    <row r="43" spans="1:16" ht="13" customHeight="1" x14ac:dyDescent="0.15">
      <c r="A43" s="105">
        <v>35</v>
      </c>
      <c r="B43" s="40" t="s">
        <v>193</v>
      </c>
      <c r="C43" s="281">
        <v>119</v>
      </c>
      <c r="D43" s="281">
        <v>180</v>
      </c>
      <c r="E43" s="281">
        <v>11175</v>
      </c>
      <c r="F43" s="281">
        <v>11405</v>
      </c>
      <c r="G43" s="281">
        <v>0</v>
      </c>
      <c r="H43" s="281">
        <v>0</v>
      </c>
      <c r="I43" s="281">
        <v>860</v>
      </c>
      <c r="J43" s="281">
        <v>1403</v>
      </c>
      <c r="K43" s="281">
        <v>0</v>
      </c>
      <c r="L43" s="281">
        <v>0</v>
      </c>
      <c r="M43" s="281">
        <v>26223</v>
      </c>
      <c r="N43" s="281">
        <v>20334</v>
      </c>
      <c r="O43" s="57">
        <f t="shared" si="0"/>
        <v>38377</v>
      </c>
      <c r="P43" s="57">
        <f t="shared" si="1"/>
        <v>33322</v>
      </c>
    </row>
    <row r="44" spans="1:16" ht="13" customHeight="1" x14ac:dyDescent="0.15">
      <c r="A44" s="105">
        <v>36</v>
      </c>
      <c r="B44" s="40" t="s">
        <v>382</v>
      </c>
      <c r="C44" s="281">
        <v>1158</v>
      </c>
      <c r="D44" s="281">
        <v>1051.27</v>
      </c>
      <c r="E44" s="281">
        <v>28569</v>
      </c>
      <c r="F44" s="281">
        <v>33574.949999999997</v>
      </c>
      <c r="G44" s="281">
        <v>286</v>
      </c>
      <c r="H44" s="281">
        <v>202.68</v>
      </c>
      <c r="I44" s="281">
        <v>2012</v>
      </c>
      <c r="J44" s="281">
        <v>2524.69</v>
      </c>
      <c r="K44" s="281">
        <v>3</v>
      </c>
      <c r="L44" s="281">
        <v>10.47</v>
      </c>
      <c r="M44" s="281">
        <v>1955</v>
      </c>
      <c r="N44" s="281">
        <v>5128.9399999999996</v>
      </c>
      <c r="O44" s="57">
        <f t="shared" si="0"/>
        <v>33983</v>
      </c>
      <c r="P44" s="57">
        <f t="shared" si="1"/>
        <v>42493</v>
      </c>
    </row>
    <row r="45" spans="1:16" s="69" customFormat="1" ht="13" customHeight="1" x14ac:dyDescent="0.15">
      <c r="A45" s="293"/>
      <c r="B45" s="42" t="s">
        <v>216</v>
      </c>
      <c r="C45" s="282">
        <f>SUM(C43:C44)</f>
        <v>1277</v>
      </c>
      <c r="D45" s="282">
        <f t="shared" ref="D45:P45" si="5">SUM(D43:D44)</f>
        <v>1231.27</v>
      </c>
      <c r="E45" s="282">
        <f t="shared" si="5"/>
        <v>39744</v>
      </c>
      <c r="F45" s="282">
        <f t="shared" si="5"/>
        <v>44979.95</v>
      </c>
      <c r="G45" s="282">
        <f t="shared" si="5"/>
        <v>286</v>
      </c>
      <c r="H45" s="282">
        <f t="shared" si="5"/>
        <v>202.68</v>
      </c>
      <c r="I45" s="282">
        <f t="shared" si="5"/>
        <v>2872</v>
      </c>
      <c r="J45" s="282">
        <f t="shared" si="5"/>
        <v>3927.69</v>
      </c>
      <c r="K45" s="282">
        <f t="shared" si="5"/>
        <v>3</v>
      </c>
      <c r="L45" s="282">
        <f t="shared" si="5"/>
        <v>10.47</v>
      </c>
      <c r="M45" s="282">
        <f t="shared" si="5"/>
        <v>28178</v>
      </c>
      <c r="N45" s="282">
        <f t="shared" si="5"/>
        <v>25462.94</v>
      </c>
      <c r="O45" s="282">
        <f t="shared" si="5"/>
        <v>72360</v>
      </c>
      <c r="P45" s="282">
        <f t="shared" si="5"/>
        <v>75815</v>
      </c>
    </row>
    <row r="46" spans="1:16" ht="13" customHeight="1" x14ac:dyDescent="0.15">
      <c r="A46" s="105">
        <v>37</v>
      </c>
      <c r="B46" s="40" t="s">
        <v>312</v>
      </c>
      <c r="C46" s="281">
        <v>1967</v>
      </c>
      <c r="D46" s="281">
        <v>453</v>
      </c>
      <c r="E46" s="281">
        <v>79311</v>
      </c>
      <c r="F46" s="281">
        <v>38863</v>
      </c>
      <c r="G46" s="281">
        <v>6818</v>
      </c>
      <c r="H46" s="281">
        <v>1977</v>
      </c>
      <c r="I46" s="281">
        <v>4179</v>
      </c>
      <c r="J46" s="281">
        <v>2549</v>
      </c>
      <c r="K46" s="281">
        <v>0</v>
      </c>
      <c r="L46" s="281">
        <v>0</v>
      </c>
      <c r="M46" s="281">
        <v>11762</v>
      </c>
      <c r="N46" s="281">
        <v>8177</v>
      </c>
      <c r="O46" s="57">
        <f t="shared" si="0"/>
        <v>104037</v>
      </c>
      <c r="P46" s="57">
        <f t="shared" si="1"/>
        <v>52019</v>
      </c>
    </row>
    <row r="47" spans="1:16" s="69" customFormat="1" ht="13" customHeight="1" x14ac:dyDescent="0.15">
      <c r="A47" s="293"/>
      <c r="B47" s="42" t="s">
        <v>214</v>
      </c>
      <c r="C47" s="282">
        <f>C46</f>
        <v>1967</v>
      </c>
      <c r="D47" s="282">
        <f t="shared" ref="D47:P47" si="6">D46</f>
        <v>453</v>
      </c>
      <c r="E47" s="282">
        <f t="shared" si="6"/>
        <v>79311</v>
      </c>
      <c r="F47" s="282">
        <f t="shared" si="6"/>
        <v>38863</v>
      </c>
      <c r="G47" s="282">
        <f t="shared" si="6"/>
        <v>6818</v>
      </c>
      <c r="H47" s="282">
        <f t="shared" si="6"/>
        <v>1977</v>
      </c>
      <c r="I47" s="282">
        <f t="shared" si="6"/>
        <v>4179</v>
      </c>
      <c r="J47" s="282">
        <f t="shared" si="6"/>
        <v>2549</v>
      </c>
      <c r="K47" s="282">
        <f t="shared" si="6"/>
        <v>0</v>
      </c>
      <c r="L47" s="282">
        <f t="shared" si="6"/>
        <v>0</v>
      </c>
      <c r="M47" s="282">
        <f t="shared" si="6"/>
        <v>11762</v>
      </c>
      <c r="N47" s="282">
        <f t="shared" si="6"/>
        <v>8177</v>
      </c>
      <c r="O47" s="282">
        <f t="shared" si="6"/>
        <v>104037</v>
      </c>
      <c r="P47" s="282">
        <f t="shared" si="6"/>
        <v>52019</v>
      </c>
    </row>
    <row r="48" spans="1:16" ht="13" customHeight="1" x14ac:dyDescent="0.15">
      <c r="A48" s="105">
        <v>38</v>
      </c>
      <c r="B48" s="40" t="s">
        <v>304</v>
      </c>
      <c r="C48" s="281">
        <v>28</v>
      </c>
      <c r="D48" s="281">
        <v>242.5</v>
      </c>
      <c r="E48" s="281">
        <v>8393</v>
      </c>
      <c r="F48" s="281">
        <v>36474.29</v>
      </c>
      <c r="G48" s="281">
        <v>0</v>
      </c>
      <c r="H48" s="281">
        <v>0</v>
      </c>
      <c r="I48" s="281">
        <v>143</v>
      </c>
      <c r="J48" s="281">
        <v>1371.6</v>
      </c>
      <c r="K48" s="281">
        <v>0</v>
      </c>
      <c r="L48" s="281">
        <v>0</v>
      </c>
      <c r="M48" s="281">
        <v>1540</v>
      </c>
      <c r="N48" s="281">
        <v>12286.7</v>
      </c>
      <c r="O48" s="57">
        <f t="shared" si="0"/>
        <v>10104</v>
      </c>
      <c r="P48" s="57">
        <f t="shared" si="1"/>
        <v>50375.09</v>
      </c>
    </row>
    <row r="49" spans="1:16" ht="13" customHeight="1" x14ac:dyDescent="0.15">
      <c r="A49" s="105">
        <v>39</v>
      </c>
      <c r="B49" s="40" t="s">
        <v>305</v>
      </c>
      <c r="C49" s="281">
        <v>0</v>
      </c>
      <c r="D49" s="281">
        <v>0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J49" s="281">
        <v>0</v>
      </c>
      <c r="K49" s="281">
        <v>0</v>
      </c>
      <c r="L49" s="281">
        <v>0</v>
      </c>
      <c r="M49" s="281">
        <v>0</v>
      </c>
      <c r="N49" s="281">
        <v>0</v>
      </c>
      <c r="O49" s="57">
        <f t="shared" si="0"/>
        <v>0</v>
      </c>
      <c r="P49" s="57">
        <f t="shared" si="1"/>
        <v>0</v>
      </c>
    </row>
    <row r="50" spans="1:16" ht="13" customHeight="1" x14ac:dyDescent="0.15">
      <c r="A50" s="105">
        <v>40</v>
      </c>
      <c r="B50" s="40" t="s">
        <v>383</v>
      </c>
      <c r="C50" s="281">
        <v>248</v>
      </c>
      <c r="D50" s="281">
        <v>64.19</v>
      </c>
      <c r="E50" s="281">
        <v>16839</v>
      </c>
      <c r="F50" s="281">
        <v>3753.49</v>
      </c>
      <c r="G50" s="281">
        <v>69</v>
      </c>
      <c r="H50" s="281">
        <v>18.7</v>
      </c>
      <c r="I50" s="281">
        <v>115</v>
      </c>
      <c r="J50" s="281">
        <v>25.93</v>
      </c>
      <c r="K50" s="281">
        <v>0</v>
      </c>
      <c r="L50" s="281">
        <v>0</v>
      </c>
      <c r="M50" s="281">
        <v>1</v>
      </c>
      <c r="N50" s="281">
        <v>0.64</v>
      </c>
      <c r="O50" s="57">
        <f t="shared" si="0"/>
        <v>17272</v>
      </c>
      <c r="P50" s="57">
        <f t="shared" si="1"/>
        <v>3862.9499999999994</v>
      </c>
    </row>
    <row r="51" spans="1:16" s="69" customFormat="1" ht="13" customHeight="1" x14ac:dyDescent="0.15">
      <c r="A51" s="105">
        <v>41</v>
      </c>
      <c r="B51" s="40" t="s">
        <v>306</v>
      </c>
      <c r="C51" s="281">
        <v>55</v>
      </c>
      <c r="D51" s="281">
        <v>12.63</v>
      </c>
      <c r="E51" s="281">
        <v>2287</v>
      </c>
      <c r="F51" s="281">
        <v>494.03</v>
      </c>
      <c r="G51" s="281">
        <v>0</v>
      </c>
      <c r="H51" s="281">
        <v>0</v>
      </c>
      <c r="I51" s="281">
        <v>1</v>
      </c>
      <c r="J51" s="281">
        <v>0.31</v>
      </c>
      <c r="K51" s="281">
        <v>0</v>
      </c>
      <c r="L51" s="281">
        <v>0</v>
      </c>
      <c r="M51" s="281">
        <v>0</v>
      </c>
      <c r="N51" s="281">
        <v>0</v>
      </c>
      <c r="O51" s="57">
        <f t="shared" si="0"/>
        <v>2343</v>
      </c>
      <c r="P51" s="57">
        <f t="shared" si="1"/>
        <v>506.96999999999997</v>
      </c>
    </row>
    <row r="52" spans="1:16" ht="13" customHeight="1" x14ac:dyDescent="0.15">
      <c r="A52" s="105">
        <v>42</v>
      </c>
      <c r="B52" s="40" t="s">
        <v>307</v>
      </c>
      <c r="C52" s="281">
        <v>1013</v>
      </c>
      <c r="D52" s="281">
        <v>532</v>
      </c>
      <c r="E52" s="281">
        <v>20858</v>
      </c>
      <c r="F52" s="281">
        <v>6459</v>
      </c>
      <c r="G52" s="281">
        <v>12829</v>
      </c>
      <c r="H52" s="281">
        <v>6611</v>
      </c>
      <c r="I52" s="281">
        <v>125</v>
      </c>
      <c r="J52" s="281">
        <v>33</v>
      </c>
      <c r="K52" s="281">
        <v>10</v>
      </c>
      <c r="L52" s="281">
        <v>5</v>
      </c>
      <c r="M52" s="281">
        <v>313</v>
      </c>
      <c r="N52" s="281">
        <v>171</v>
      </c>
      <c r="O52" s="57">
        <f t="shared" si="0"/>
        <v>35148</v>
      </c>
      <c r="P52" s="57">
        <f t="shared" si="1"/>
        <v>13811</v>
      </c>
    </row>
    <row r="53" spans="1:16" s="69" customFormat="1" ht="13" customHeight="1" x14ac:dyDescent="0.15">
      <c r="A53" s="105">
        <v>43</v>
      </c>
      <c r="B53" s="40" t="s">
        <v>308</v>
      </c>
      <c r="C53" s="281">
        <v>123</v>
      </c>
      <c r="D53" s="281">
        <v>24.12</v>
      </c>
      <c r="E53" s="281">
        <v>5866</v>
      </c>
      <c r="F53" s="281">
        <v>1115.72</v>
      </c>
      <c r="G53" s="281">
        <v>4</v>
      </c>
      <c r="H53" s="281">
        <v>0.87</v>
      </c>
      <c r="I53" s="281">
        <v>36</v>
      </c>
      <c r="J53" s="281">
        <v>8.67</v>
      </c>
      <c r="K53" s="281">
        <v>4</v>
      </c>
      <c r="L53" s="281">
        <v>0.79</v>
      </c>
      <c r="M53" s="281">
        <v>14</v>
      </c>
      <c r="N53" s="281">
        <v>3.78</v>
      </c>
      <c r="O53" s="57">
        <f t="shared" si="0"/>
        <v>6047</v>
      </c>
      <c r="P53" s="57">
        <f t="shared" si="1"/>
        <v>1153.9499999999998</v>
      </c>
    </row>
    <row r="54" spans="1:16" ht="13" customHeight="1" x14ac:dyDescent="0.15">
      <c r="A54" s="105">
        <v>44</v>
      </c>
      <c r="B54" s="40" t="s">
        <v>300</v>
      </c>
      <c r="C54" s="281">
        <v>34</v>
      </c>
      <c r="D54" s="281">
        <v>6.08</v>
      </c>
      <c r="E54" s="281">
        <v>7641</v>
      </c>
      <c r="F54" s="281">
        <v>1589.66</v>
      </c>
      <c r="G54" s="281">
        <v>99</v>
      </c>
      <c r="H54" s="281">
        <v>20.91</v>
      </c>
      <c r="I54" s="281">
        <v>92</v>
      </c>
      <c r="J54" s="281">
        <v>17.02</v>
      </c>
      <c r="K54" s="281">
        <v>3</v>
      </c>
      <c r="L54" s="281">
        <v>0.42</v>
      </c>
      <c r="M54" s="281">
        <v>6</v>
      </c>
      <c r="N54" s="281">
        <v>1.03</v>
      </c>
      <c r="O54" s="57">
        <f t="shared" si="0"/>
        <v>7875</v>
      </c>
      <c r="P54" s="57">
        <f t="shared" si="1"/>
        <v>1635.1200000000001</v>
      </c>
    </row>
    <row r="55" spans="1:16" ht="13" customHeight="1" x14ac:dyDescent="0.15">
      <c r="A55" s="105">
        <v>45</v>
      </c>
      <c r="B55" s="40" t="s">
        <v>309</v>
      </c>
      <c r="C55" s="281">
        <v>68</v>
      </c>
      <c r="D55" s="281">
        <v>18</v>
      </c>
      <c r="E55" s="281">
        <v>2461</v>
      </c>
      <c r="F55" s="281">
        <v>677</v>
      </c>
      <c r="G55" s="281">
        <v>0</v>
      </c>
      <c r="H55" s="281">
        <v>0</v>
      </c>
      <c r="I55" s="281">
        <v>25</v>
      </c>
      <c r="J55" s="281">
        <v>8</v>
      </c>
      <c r="K55" s="281">
        <v>0</v>
      </c>
      <c r="L55" s="281">
        <v>0</v>
      </c>
      <c r="M55" s="281">
        <v>15</v>
      </c>
      <c r="N55" s="281">
        <v>4</v>
      </c>
      <c r="O55" s="57">
        <f t="shared" si="0"/>
        <v>2569</v>
      </c>
      <c r="P55" s="57">
        <f t="shared" si="1"/>
        <v>707</v>
      </c>
    </row>
    <row r="56" spans="1:16" s="69" customFormat="1" ht="13" customHeight="1" x14ac:dyDescent="0.15">
      <c r="A56" s="293"/>
      <c r="B56" s="42" t="s">
        <v>310</v>
      </c>
      <c r="C56" s="282">
        <f>SUM(C48:C55)</f>
        <v>1569</v>
      </c>
      <c r="D56" s="282">
        <f t="shared" ref="D56:P56" si="7">SUM(D48:D55)</f>
        <v>899.52</v>
      </c>
      <c r="E56" s="282">
        <f t="shared" si="7"/>
        <v>64345</v>
      </c>
      <c r="F56" s="282">
        <f t="shared" si="7"/>
        <v>50563.19</v>
      </c>
      <c r="G56" s="282">
        <f t="shared" si="7"/>
        <v>13001</v>
      </c>
      <c r="H56" s="282">
        <f t="shared" si="7"/>
        <v>6651.48</v>
      </c>
      <c r="I56" s="282">
        <f t="shared" si="7"/>
        <v>537</v>
      </c>
      <c r="J56" s="282">
        <f t="shared" si="7"/>
        <v>1464.53</v>
      </c>
      <c r="K56" s="282">
        <f t="shared" si="7"/>
        <v>17</v>
      </c>
      <c r="L56" s="282">
        <f t="shared" si="7"/>
        <v>6.21</v>
      </c>
      <c r="M56" s="282">
        <f t="shared" si="7"/>
        <v>1889</v>
      </c>
      <c r="N56" s="282">
        <f t="shared" si="7"/>
        <v>12467.150000000001</v>
      </c>
      <c r="O56" s="282">
        <f t="shared" si="7"/>
        <v>81358</v>
      </c>
      <c r="P56" s="282">
        <f t="shared" si="7"/>
        <v>72052.079999999987</v>
      </c>
    </row>
    <row r="57" spans="1:16" s="69" customFormat="1" ht="13" customHeight="1" x14ac:dyDescent="0.15">
      <c r="A57" s="107"/>
      <c r="B57" s="68" t="s">
        <v>0</v>
      </c>
      <c r="C57" s="282">
        <f>C56+C47+C45+C42</f>
        <v>18664</v>
      </c>
      <c r="D57" s="282">
        <f t="shared" ref="D57:P57" si="8">D56+D47+D45+D42</f>
        <v>44756.26</v>
      </c>
      <c r="E57" s="282">
        <f t="shared" si="8"/>
        <v>583510</v>
      </c>
      <c r="F57" s="282">
        <f t="shared" si="8"/>
        <v>612270.78</v>
      </c>
      <c r="G57" s="282">
        <f t="shared" si="8"/>
        <v>24299</v>
      </c>
      <c r="H57" s="282">
        <f t="shared" si="8"/>
        <v>20147.93</v>
      </c>
      <c r="I57" s="282">
        <f t="shared" si="8"/>
        <v>26948</v>
      </c>
      <c r="J57" s="282">
        <f t="shared" si="8"/>
        <v>186030.6</v>
      </c>
      <c r="K57" s="282">
        <f t="shared" si="8"/>
        <v>382</v>
      </c>
      <c r="L57" s="282">
        <f t="shared" si="8"/>
        <v>1600.7</v>
      </c>
      <c r="M57" s="282">
        <f t="shared" si="8"/>
        <v>82799</v>
      </c>
      <c r="N57" s="282">
        <f t="shared" si="8"/>
        <v>289074.28000000003</v>
      </c>
      <c r="O57" s="282">
        <f t="shared" si="8"/>
        <v>736602</v>
      </c>
      <c r="P57" s="282">
        <f t="shared" si="8"/>
        <v>1153880.55</v>
      </c>
    </row>
    <row r="58" spans="1:16" ht="28" customHeight="1" x14ac:dyDescent="0.2">
      <c r="H58" s="477" t="s">
        <v>1090</v>
      </c>
      <c r="I58" s="477"/>
    </row>
    <row r="61" spans="1:16" s="155" customFormat="1" ht="14" x14ac:dyDescent="0.2">
      <c r="A61" s="154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</row>
    <row r="64" spans="1:16" x14ac:dyDescent="0.2"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</row>
  </sheetData>
  <mergeCells count="14">
    <mergeCell ref="H58:I58"/>
    <mergeCell ref="K4:L4"/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A2:P2"/>
  </mergeCells>
  <conditionalFormatting sqref="M3">
    <cfRule type="cellIs" dxfId="9" priority="10" operator="lessThan">
      <formula>0</formula>
    </cfRule>
  </conditionalFormatting>
  <pageMargins left="0.7" right="0" top="1.25" bottom="0.5" header="0.3" footer="0.3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</sheetPr>
  <dimension ref="A1:T60"/>
  <sheetViews>
    <sheetView zoomScale="90" zoomScaleNormal="90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G69" sqref="G69"/>
    </sheetView>
  </sheetViews>
  <sheetFormatPr baseColWidth="10" defaultColWidth="9.19921875" defaultRowHeight="14" x14ac:dyDescent="0.2"/>
  <cols>
    <col min="1" max="1" width="4.796875" style="347" customWidth="1"/>
    <col min="2" max="2" width="24.3984375" style="347" bestFit="1" customWidth="1"/>
    <col min="3" max="3" width="9.3984375" style="349" bestFit="1" customWidth="1"/>
    <col min="4" max="4" width="9.19921875" style="349" customWidth="1"/>
    <col min="5" max="5" width="9.3984375" style="349" bestFit="1" customWidth="1"/>
    <col min="6" max="6" width="10" style="349" customWidth="1"/>
    <col min="7" max="7" width="9.3984375" style="349" bestFit="1" customWidth="1"/>
    <col min="8" max="8" width="9.19921875" style="349" customWidth="1"/>
    <col min="9" max="9" width="9.3984375" style="349" bestFit="1" customWidth="1"/>
    <col min="10" max="10" width="9.19921875" style="349" customWidth="1"/>
    <col min="11" max="11" width="9.3984375" style="349" bestFit="1" customWidth="1"/>
    <col min="12" max="12" width="8.19921875" style="349" customWidth="1"/>
    <col min="13" max="13" width="9.3984375" style="349" bestFit="1" customWidth="1"/>
    <col min="14" max="14" width="9.19921875" style="349" customWidth="1"/>
    <col min="15" max="15" width="9.3984375" style="349" bestFit="1" customWidth="1"/>
    <col min="16" max="16" width="9.796875" style="349" customWidth="1"/>
    <col min="17" max="18" width="9.19921875" style="331"/>
    <col min="19" max="19" width="9.19921875" style="357"/>
    <col min="20" max="20" width="9.19921875" style="358"/>
    <col min="21" max="16384" width="9.19921875" style="347"/>
  </cols>
  <sheetData>
    <row r="1" spans="1:20" ht="15.75" customHeight="1" x14ac:dyDescent="0.2">
      <c r="A1" s="458" t="s">
        <v>1061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20" x14ac:dyDescent="0.2">
      <c r="A2" s="459" t="s">
        <v>107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20" ht="15" customHeight="1" x14ac:dyDescent="0.2">
      <c r="A3" s="348"/>
      <c r="B3" s="479" t="s">
        <v>11</v>
      </c>
      <c r="C3" s="479"/>
      <c r="D3" s="479"/>
      <c r="M3" s="451" t="s">
        <v>165</v>
      </c>
      <c r="N3" s="451"/>
    </row>
    <row r="4" spans="1:20" x14ac:dyDescent="0.2">
      <c r="A4" s="468" t="s">
        <v>194</v>
      </c>
      <c r="B4" s="468" t="s">
        <v>2</v>
      </c>
      <c r="C4" s="470" t="s">
        <v>24</v>
      </c>
      <c r="D4" s="480"/>
      <c r="E4" s="455" t="s">
        <v>162</v>
      </c>
      <c r="F4" s="455"/>
      <c r="G4" s="470" t="s">
        <v>25</v>
      </c>
      <c r="H4" s="480"/>
      <c r="I4" s="455" t="s">
        <v>23</v>
      </c>
      <c r="J4" s="455"/>
      <c r="K4" s="470" t="s">
        <v>163</v>
      </c>
      <c r="L4" s="480"/>
      <c r="M4" s="455" t="s">
        <v>26</v>
      </c>
      <c r="N4" s="455"/>
      <c r="O4" s="455" t="s">
        <v>0</v>
      </c>
      <c r="P4" s="455"/>
    </row>
    <row r="5" spans="1:20" ht="15" x14ac:dyDescent="0.2">
      <c r="A5" s="469"/>
      <c r="B5" s="471"/>
      <c r="C5" s="299" t="s">
        <v>27</v>
      </c>
      <c r="D5" s="299" t="s">
        <v>15</v>
      </c>
      <c r="E5" s="299" t="s">
        <v>27</v>
      </c>
      <c r="F5" s="299" t="s">
        <v>15</v>
      </c>
      <c r="G5" s="299" t="s">
        <v>27</v>
      </c>
      <c r="H5" s="299" t="s">
        <v>15</v>
      </c>
      <c r="I5" s="299" t="s">
        <v>27</v>
      </c>
      <c r="J5" s="299" t="s">
        <v>15</v>
      </c>
      <c r="K5" s="299" t="s">
        <v>27</v>
      </c>
      <c r="L5" s="299" t="s">
        <v>15</v>
      </c>
      <c r="M5" s="299" t="s">
        <v>27</v>
      </c>
      <c r="N5" s="299" t="s">
        <v>15</v>
      </c>
      <c r="O5" s="299" t="s">
        <v>20</v>
      </c>
      <c r="P5" s="299" t="s">
        <v>21</v>
      </c>
    </row>
    <row r="6" spans="1:20" ht="13" customHeight="1" x14ac:dyDescent="0.2">
      <c r="A6" s="34">
        <v>1</v>
      </c>
      <c r="B6" s="35" t="s">
        <v>51</v>
      </c>
      <c r="C6" s="311">
        <v>19</v>
      </c>
      <c r="D6" s="311">
        <v>6</v>
      </c>
      <c r="E6" s="311">
        <v>158</v>
      </c>
      <c r="F6" s="311">
        <v>23</v>
      </c>
      <c r="G6" s="311">
        <v>1</v>
      </c>
      <c r="H6" s="311">
        <v>3</v>
      </c>
      <c r="I6" s="311">
        <v>12</v>
      </c>
      <c r="J6" s="311">
        <v>28</v>
      </c>
      <c r="K6" s="311">
        <v>0</v>
      </c>
      <c r="L6" s="311">
        <v>0</v>
      </c>
      <c r="M6" s="311">
        <v>84</v>
      </c>
      <c r="N6" s="311">
        <v>39</v>
      </c>
      <c r="O6" s="350">
        <f>C6+E6+G6+I6+K6+M6</f>
        <v>274</v>
      </c>
      <c r="P6" s="350">
        <f>D6+F6+H6+J6+L6+N6</f>
        <v>99</v>
      </c>
      <c r="S6" s="331"/>
      <c r="T6" s="331"/>
    </row>
    <row r="7" spans="1:20" ht="13" customHeight="1" x14ac:dyDescent="0.2">
      <c r="A7" s="34">
        <v>2</v>
      </c>
      <c r="B7" s="35" t="s">
        <v>52</v>
      </c>
      <c r="C7" s="311">
        <v>163</v>
      </c>
      <c r="D7" s="311">
        <v>415.06</v>
      </c>
      <c r="E7" s="311">
        <v>5123</v>
      </c>
      <c r="F7" s="311">
        <v>11645.65</v>
      </c>
      <c r="G7" s="311">
        <v>12</v>
      </c>
      <c r="H7" s="311">
        <v>17.09</v>
      </c>
      <c r="I7" s="311">
        <v>262</v>
      </c>
      <c r="J7" s="311">
        <v>26087.39</v>
      </c>
      <c r="K7" s="311">
        <v>0</v>
      </c>
      <c r="L7" s="311">
        <v>0</v>
      </c>
      <c r="M7" s="311">
        <v>351</v>
      </c>
      <c r="N7" s="311">
        <v>2502.64</v>
      </c>
      <c r="O7" s="350">
        <f t="shared" ref="O7:O55" si="0">C7+E7+G7+I7+K7+M7</f>
        <v>5911</v>
      </c>
      <c r="P7" s="350">
        <f t="shared" ref="P7:P55" si="1">D7+F7+H7+J7+L7+N7</f>
        <v>40667.83</v>
      </c>
      <c r="S7" s="331"/>
      <c r="T7" s="331"/>
    </row>
    <row r="8" spans="1:20" ht="13" customHeight="1" x14ac:dyDescent="0.2">
      <c r="A8" s="34">
        <v>3</v>
      </c>
      <c r="B8" s="35" t="s">
        <v>53</v>
      </c>
      <c r="C8" s="311">
        <v>53</v>
      </c>
      <c r="D8" s="311">
        <v>192.9</v>
      </c>
      <c r="E8" s="311">
        <v>1750</v>
      </c>
      <c r="F8" s="311">
        <v>6918.17</v>
      </c>
      <c r="G8" s="311">
        <v>29</v>
      </c>
      <c r="H8" s="311">
        <v>68.180000000000007</v>
      </c>
      <c r="I8" s="311">
        <v>1320</v>
      </c>
      <c r="J8" s="311">
        <v>3773.06</v>
      </c>
      <c r="K8" s="311">
        <v>3</v>
      </c>
      <c r="L8" s="311">
        <v>3.37</v>
      </c>
      <c r="M8" s="311">
        <v>333</v>
      </c>
      <c r="N8" s="311">
        <v>3452.9</v>
      </c>
      <c r="O8" s="350">
        <f t="shared" si="0"/>
        <v>3488</v>
      </c>
      <c r="P8" s="350">
        <f t="shared" si="1"/>
        <v>14408.58</v>
      </c>
      <c r="S8" s="331"/>
      <c r="T8" s="331"/>
    </row>
    <row r="9" spans="1:20" ht="13" customHeight="1" x14ac:dyDescent="0.2">
      <c r="A9" s="34">
        <v>4</v>
      </c>
      <c r="B9" s="35" t="s">
        <v>54</v>
      </c>
      <c r="C9" s="311">
        <v>34</v>
      </c>
      <c r="D9" s="311">
        <v>266.19</v>
      </c>
      <c r="E9" s="311">
        <v>793</v>
      </c>
      <c r="F9" s="311">
        <v>1575.4</v>
      </c>
      <c r="G9" s="311">
        <v>328</v>
      </c>
      <c r="H9" s="311">
        <v>556.24</v>
      </c>
      <c r="I9" s="311">
        <v>314</v>
      </c>
      <c r="J9" s="311">
        <v>1000.95</v>
      </c>
      <c r="K9" s="311">
        <v>3</v>
      </c>
      <c r="L9" s="311">
        <v>6.71</v>
      </c>
      <c r="M9" s="311">
        <v>182</v>
      </c>
      <c r="N9" s="311">
        <v>540.58000000000004</v>
      </c>
      <c r="O9" s="350">
        <f t="shared" si="0"/>
        <v>1654</v>
      </c>
      <c r="P9" s="350">
        <f t="shared" si="1"/>
        <v>3946.0699999999997</v>
      </c>
      <c r="S9" s="331"/>
      <c r="T9" s="331"/>
    </row>
    <row r="10" spans="1:20" ht="13" customHeight="1" x14ac:dyDescent="0.2">
      <c r="A10" s="34">
        <v>5</v>
      </c>
      <c r="B10" s="35" t="s">
        <v>55</v>
      </c>
      <c r="C10" s="311">
        <v>121</v>
      </c>
      <c r="D10" s="311">
        <v>441</v>
      </c>
      <c r="E10" s="311">
        <v>252</v>
      </c>
      <c r="F10" s="311">
        <v>878</v>
      </c>
      <c r="G10" s="311">
        <v>23</v>
      </c>
      <c r="H10" s="311">
        <v>58</v>
      </c>
      <c r="I10" s="311">
        <v>256</v>
      </c>
      <c r="J10" s="311">
        <v>1154</v>
      </c>
      <c r="K10" s="311">
        <v>2</v>
      </c>
      <c r="L10" s="311">
        <v>5</v>
      </c>
      <c r="M10" s="311">
        <v>259</v>
      </c>
      <c r="N10" s="311">
        <v>1089</v>
      </c>
      <c r="O10" s="350">
        <f t="shared" si="0"/>
        <v>913</v>
      </c>
      <c r="P10" s="350">
        <f t="shared" si="1"/>
        <v>3625</v>
      </c>
      <c r="S10" s="331"/>
      <c r="T10" s="331"/>
    </row>
    <row r="11" spans="1:20" ht="13" customHeight="1" x14ac:dyDescent="0.2">
      <c r="A11" s="34">
        <v>6</v>
      </c>
      <c r="B11" s="35" t="s">
        <v>56</v>
      </c>
      <c r="C11" s="311">
        <v>82</v>
      </c>
      <c r="D11" s="311">
        <v>276</v>
      </c>
      <c r="E11" s="311">
        <v>751</v>
      </c>
      <c r="F11" s="311">
        <v>1526</v>
      </c>
      <c r="G11" s="311">
        <v>6</v>
      </c>
      <c r="H11" s="311">
        <v>26</v>
      </c>
      <c r="I11" s="311">
        <v>60</v>
      </c>
      <c r="J11" s="311">
        <v>502</v>
      </c>
      <c r="K11" s="311">
        <v>0</v>
      </c>
      <c r="L11" s="311">
        <v>0</v>
      </c>
      <c r="M11" s="311">
        <v>115</v>
      </c>
      <c r="N11" s="311">
        <v>381</v>
      </c>
      <c r="O11" s="350">
        <f t="shared" si="0"/>
        <v>1014</v>
      </c>
      <c r="P11" s="350">
        <f t="shared" si="1"/>
        <v>2711</v>
      </c>
      <c r="S11" s="331"/>
      <c r="T11" s="331"/>
    </row>
    <row r="12" spans="1:20" ht="13" customHeight="1" x14ac:dyDescent="0.2">
      <c r="A12" s="34">
        <v>7</v>
      </c>
      <c r="B12" s="35" t="s">
        <v>57</v>
      </c>
      <c r="C12" s="311">
        <v>2</v>
      </c>
      <c r="D12" s="311">
        <v>5</v>
      </c>
      <c r="E12" s="311">
        <v>18</v>
      </c>
      <c r="F12" s="311">
        <v>23</v>
      </c>
      <c r="G12" s="311">
        <v>0</v>
      </c>
      <c r="H12" s="311">
        <v>0</v>
      </c>
      <c r="I12" s="311">
        <v>1</v>
      </c>
      <c r="J12" s="311">
        <v>1.5</v>
      </c>
      <c r="K12" s="311">
        <v>0</v>
      </c>
      <c r="L12" s="311">
        <v>0</v>
      </c>
      <c r="M12" s="311">
        <v>2</v>
      </c>
      <c r="N12" s="311">
        <v>3</v>
      </c>
      <c r="O12" s="350">
        <f t="shared" si="0"/>
        <v>23</v>
      </c>
      <c r="P12" s="350">
        <f t="shared" si="1"/>
        <v>32.5</v>
      </c>
      <c r="S12" s="331"/>
      <c r="T12" s="331"/>
    </row>
    <row r="13" spans="1:20" ht="13" customHeight="1" x14ac:dyDescent="0.2">
      <c r="A13" s="34">
        <v>8</v>
      </c>
      <c r="B13" s="35" t="s">
        <v>178</v>
      </c>
      <c r="C13" s="311">
        <v>20</v>
      </c>
      <c r="D13" s="311">
        <v>87</v>
      </c>
      <c r="E13" s="311">
        <v>108</v>
      </c>
      <c r="F13" s="311">
        <v>1004</v>
      </c>
      <c r="G13" s="311">
        <v>0</v>
      </c>
      <c r="H13" s="311">
        <v>0</v>
      </c>
      <c r="I13" s="311">
        <v>418</v>
      </c>
      <c r="J13" s="311">
        <v>1838</v>
      </c>
      <c r="K13" s="311">
        <v>0</v>
      </c>
      <c r="L13" s="311">
        <v>0</v>
      </c>
      <c r="M13" s="311">
        <v>151</v>
      </c>
      <c r="N13" s="311">
        <v>249</v>
      </c>
      <c r="O13" s="350">
        <f t="shared" si="0"/>
        <v>697</v>
      </c>
      <c r="P13" s="350">
        <f t="shared" si="1"/>
        <v>3178</v>
      </c>
      <c r="S13" s="331"/>
      <c r="T13" s="331"/>
    </row>
    <row r="14" spans="1:20" ht="13" customHeight="1" x14ac:dyDescent="0.2">
      <c r="A14" s="34">
        <v>9</v>
      </c>
      <c r="B14" s="35" t="s">
        <v>58</v>
      </c>
      <c r="C14" s="311">
        <v>15</v>
      </c>
      <c r="D14" s="311">
        <v>43.55</v>
      </c>
      <c r="E14" s="311">
        <v>559</v>
      </c>
      <c r="F14" s="311">
        <v>1092.99</v>
      </c>
      <c r="G14" s="311">
        <v>0</v>
      </c>
      <c r="H14" s="311">
        <v>0</v>
      </c>
      <c r="I14" s="311">
        <v>80</v>
      </c>
      <c r="J14" s="311">
        <v>324.08999999999997</v>
      </c>
      <c r="K14" s="311">
        <v>1</v>
      </c>
      <c r="L14" s="311">
        <v>0.4</v>
      </c>
      <c r="M14" s="311">
        <v>79</v>
      </c>
      <c r="N14" s="311">
        <v>230.96</v>
      </c>
      <c r="O14" s="350">
        <f t="shared" si="0"/>
        <v>734</v>
      </c>
      <c r="P14" s="350">
        <f t="shared" si="1"/>
        <v>1691.99</v>
      </c>
      <c r="S14" s="331"/>
      <c r="T14" s="331"/>
    </row>
    <row r="15" spans="1:20" ht="13" customHeight="1" x14ac:dyDescent="0.2">
      <c r="A15" s="34">
        <v>10</v>
      </c>
      <c r="B15" s="35" t="s">
        <v>64</v>
      </c>
      <c r="C15" s="311">
        <v>984</v>
      </c>
      <c r="D15" s="311">
        <v>407</v>
      </c>
      <c r="E15" s="311">
        <v>5393</v>
      </c>
      <c r="F15" s="311">
        <v>11575</v>
      </c>
      <c r="G15" s="311">
        <v>301</v>
      </c>
      <c r="H15" s="311">
        <v>43</v>
      </c>
      <c r="I15" s="311">
        <v>2620</v>
      </c>
      <c r="J15" s="311">
        <v>1790</v>
      </c>
      <c r="K15" s="311">
        <v>12</v>
      </c>
      <c r="L15" s="311">
        <v>0</v>
      </c>
      <c r="M15" s="311">
        <v>4556</v>
      </c>
      <c r="N15" s="311">
        <v>3950</v>
      </c>
      <c r="O15" s="350">
        <f t="shared" si="0"/>
        <v>13866</v>
      </c>
      <c r="P15" s="350">
        <f t="shared" si="1"/>
        <v>17765</v>
      </c>
      <c r="S15" s="331"/>
      <c r="T15" s="331"/>
    </row>
    <row r="16" spans="1:20" ht="13" customHeight="1" x14ac:dyDescent="0.2">
      <c r="A16" s="34">
        <v>11</v>
      </c>
      <c r="B16" s="35" t="s">
        <v>179</v>
      </c>
      <c r="C16" s="311">
        <v>7</v>
      </c>
      <c r="D16" s="311">
        <v>22</v>
      </c>
      <c r="E16" s="311">
        <v>110</v>
      </c>
      <c r="F16" s="311">
        <v>248</v>
      </c>
      <c r="G16" s="311">
        <v>0</v>
      </c>
      <c r="H16" s="311">
        <v>0</v>
      </c>
      <c r="I16" s="311">
        <v>16</v>
      </c>
      <c r="J16" s="311">
        <v>22</v>
      </c>
      <c r="K16" s="311">
        <v>0</v>
      </c>
      <c r="L16" s="311">
        <v>0</v>
      </c>
      <c r="M16" s="311">
        <v>26</v>
      </c>
      <c r="N16" s="311">
        <v>132</v>
      </c>
      <c r="O16" s="350">
        <f t="shared" si="0"/>
        <v>159</v>
      </c>
      <c r="P16" s="350">
        <f t="shared" si="1"/>
        <v>424</v>
      </c>
      <c r="S16" s="331"/>
      <c r="T16" s="331"/>
    </row>
    <row r="17" spans="1:20" ht="13" customHeight="1" x14ac:dyDescent="0.2">
      <c r="A17" s="34">
        <v>12</v>
      </c>
      <c r="B17" s="35" t="s">
        <v>60</v>
      </c>
      <c r="C17" s="311">
        <v>105</v>
      </c>
      <c r="D17" s="311">
        <v>872</v>
      </c>
      <c r="E17" s="311">
        <v>1103</v>
      </c>
      <c r="F17" s="311">
        <v>2856</v>
      </c>
      <c r="G17" s="311">
        <v>24</v>
      </c>
      <c r="H17" s="311">
        <v>34</v>
      </c>
      <c r="I17" s="311">
        <v>111</v>
      </c>
      <c r="J17" s="311">
        <v>1126</v>
      </c>
      <c r="K17" s="311">
        <v>11</v>
      </c>
      <c r="L17" s="311">
        <v>15</v>
      </c>
      <c r="M17" s="311">
        <v>516</v>
      </c>
      <c r="N17" s="311">
        <v>8431</v>
      </c>
      <c r="O17" s="350">
        <f t="shared" si="0"/>
        <v>1870</v>
      </c>
      <c r="P17" s="350">
        <f t="shared" si="1"/>
        <v>13334</v>
      </c>
      <c r="S17" s="331"/>
      <c r="T17" s="331"/>
    </row>
    <row r="18" spans="1:20" s="352" customFormat="1" ht="13" customHeight="1" x14ac:dyDescent="0.2">
      <c r="A18" s="294"/>
      <c r="B18" s="65" t="s">
        <v>215</v>
      </c>
      <c r="C18" s="351">
        <f>SUM(C6:C17)</f>
        <v>1605</v>
      </c>
      <c r="D18" s="351">
        <f t="shared" ref="D18:P18" si="2">SUM(D6:D17)</f>
        <v>3033.7</v>
      </c>
      <c r="E18" s="351">
        <f t="shared" si="2"/>
        <v>16118</v>
      </c>
      <c r="F18" s="351">
        <f t="shared" si="2"/>
        <v>39365.210000000006</v>
      </c>
      <c r="G18" s="351">
        <f t="shared" si="2"/>
        <v>724</v>
      </c>
      <c r="H18" s="351">
        <f t="shared" si="2"/>
        <v>805.51</v>
      </c>
      <c r="I18" s="351">
        <f t="shared" si="2"/>
        <v>5470</v>
      </c>
      <c r="J18" s="351">
        <f t="shared" si="2"/>
        <v>37646.99</v>
      </c>
      <c r="K18" s="351">
        <f t="shared" si="2"/>
        <v>32</v>
      </c>
      <c r="L18" s="351">
        <f t="shared" si="2"/>
        <v>30.48</v>
      </c>
      <c r="M18" s="351">
        <f t="shared" si="2"/>
        <v>6654</v>
      </c>
      <c r="N18" s="351">
        <f t="shared" si="2"/>
        <v>21001.079999999998</v>
      </c>
      <c r="O18" s="351">
        <f t="shared" si="2"/>
        <v>30603</v>
      </c>
      <c r="P18" s="351">
        <f t="shared" si="2"/>
        <v>101882.97000000002</v>
      </c>
      <c r="Q18" s="331"/>
      <c r="R18" s="331"/>
      <c r="S18" s="331"/>
      <c r="T18" s="331"/>
    </row>
    <row r="19" spans="1:20" ht="13" customHeight="1" x14ac:dyDescent="0.2">
      <c r="A19" s="34">
        <v>13</v>
      </c>
      <c r="B19" s="35" t="s">
        <v>41</v>
      </c>
      <c r="C19" s="311">
        <v>14</v>
      </c>
      <c r="D19" s="311">
        <v>89.64</v>
      </c>
      <c r="E19" s="311">
        <v>1306</v>
      </c>
      <c r="F19" s="311">
        <v>2147.52</v>
      </c>
      <c r="G19" s="311">
        <v>2</v>
      </c>
      <c r="H19" s="311">
        <v>0.21</v>
      </c>
      <c r="I19" s="311">
        <v>284</v>
      </c>
      <c r="J19" s="311">
        <v>465.54</v>
      </c>
      <c r="K19" s="311">
        <v>0</v>
      </c>
      <c r="L19" s="311">
        <v>0</v>
      </c>
      <c r="M19" s="311">
        <v>0</v>
      </c>
      <c r="N19" s="311">
        <v>0</v>
      </c>
      <c r="O19" s="350">
        <f t="shared" si="0"/>
        <v>1606</v>
      </c>
      <c r="P19" s="350">
        <f t="shared" si="1"/>
        <v>2702.91</v>
      </c>
      <c r="S19" s="331"/>
      <c r="T19" s="331"/>
    </row>
    <row r="20" spans="1:20" ht="13" customHeight="1" x14ac:dyDescent="0.2">
      <c r="A20" s="34">
        <v>14</v>
      </c>
      <c r="B20" s="35" t="s">
        <v>180</v>
      </c>
      <c r="C20" s="311">
        <v>29</v>
      </c>
      <c r="D20" s="311">
        <v>19.190000000000001</v>
      </c>
      <c r="E20" s="311">
        <v>5913</v>
      </c>
      <c r="F20" s="311">
        <v>3804.63</v>
      </c>
      <c r="G20" s="311">
        <v>0</v>
      </c>
      <c r="H20" s="311">
        <v>0</v>
      </c>
      <c r="I20" s="311">
        <v>10</v>
      </c>
      <c r="J20" s="311">
        <v>6.26</v>
      </c>
      <c r="K20" s="311">
        <v>0</v>
      </c>
      <c r="L20" s="311">
        <v>0</v>
      </c>
      <c r="M20" s="311">
        <v>9</v>
      </c>
      <c r="N20" s="311">
        <v>6.73</v>
      </c>
      <c r="O20" s="350">
        <f t="shared" si="0"/>
        <v>5961</v>
      </c>
      <c r="P20" s="350">
        <f t="shared" si="1"/>
        <v>3836.8100000000004</v>
      </c>
      <c r="S20" s="331"/>
      <c r="T20" s="331"/>
    </row>
    <row r="21" spans="1:20" ht="13" customHeight="1" x14ac:dyDescent="0.2">
      <c r="A21" s="34">
        <v>15</v>
      </c>
      <c r="B21" s="35" t="s">
        <v>181</v>
      </c>
      <c r="C21" s="311">
        <v>28</v>
      </c>
      <c r="D21" s="311">
        <v>27.85</v>
      </c>
      <c r="E21" s="311">
        <v>31</v>
      </c>
      <c r="F21" s="311">
        <v>15.4</v>
      </c>
      <c r="G21" s="311">
        <v>0</v>
      </c>
      <c r="H21" s="311">
        <v>0</v>
      </c>
      <c r="I21" s="311">
        <v>5</v>
      </c>
      <c r="J21" s="311">
        <v>8.66</v>
      </c>
      <c r="K21" s="311">
        <v>0</v>
      </c>
      <c r="L21" s="311">
        <v>0</v>
      </c>
      <c r="M21" s="311">
        <v>7</v>
      </c>
      <c r="N21" s="311">
        <v>5.69</v>
      </c>
      <c r="O21" s="350">
        <f t="shared" si="0"/>
        <v>71</v>
      </c>
      <c r="P21" s="350">
        <f t="shared" si="1"/>
        <v>57.599999999999994</v>
      </c>
      <c r="S21" s="331"/>
      <c r="T21" s="331"/>
    </row>
    <row r="22" spans="1:20" ht="13" customHeight="1" x14ac:dyDescent="0.2">
      <c r="A22" s="34">
        <v>16</v>
      </c>
      <c r="B22" s="35" t="s">
        <v>45</v>
      </c>
      <c r="C22" s="311">
        <v>1</v>
      </c>
      <c r="D22" s="311">
        <v>0</v>
      </c>
      <c r="E22" s="311">
        <v>1</v>
      </c>
      <c r="F22" s="311">
        <v>2</v>
      </c>
      <c r="G22" s="311">
        <v>0</v>
      </c>
      <c r="H22" s="311">
        <v>0</v>
      </c>
      <c r="I22" s="311">
        <v>1</v>
      </c>
      <c r="J22" s="311">
        <v>1</v>
      </c>
      <c r="K22" s="311">
        <v>0</v>
      </c>
      <c r="L22" s="311">
        <v>0</v>
      </c>
      <c r="M22" s="311">
        <v>0</v>
      </c>
      <c r="N22" s="311">
        <v>0</v>
      </c>
      <c r="O22" s="350">
        <f t="shared" si="0"/>
        <v>3</v>
      </c>
      <c r="P22" s="350">
        <f t="shared" si="1"/>
        <v>3</v>
      </c>
      <c r="S22" s="331"/>
      <c r="T22" s="331"/>
    </row>
    <row r="23" spans="1:20" ht="13" customHeight="1" x14ac:dyDescent="0.2">
      <c r="A23" s="34">
        <v>17</v>
      </c>
      <c r="B23" s="35" t="s">
        <v>182</v>
      </c>
      <c r="C23" s="311">
        <v>0</v>
      </c>
      <c r="D23" s="311">
        <v>0</v>
      </c>
      <c r="E23" s="311">
        <v>28</v>
      </c>
      <c r="F23" s="311">
        <v>24</v>
      </c>
      <c r="G23" s="311">
        <v>0</v>
      </c>
      <c r="H23" s="311">
        <v>0</v>
      </c>
      <c r="I23" s="311">
        <v>1</v>
      </c>
      <c r="J23" s="311">
        <v>0</v>
      </c>
      <c r="K23" s="311">
        <v>0</v>
      </c>
      <c r="L23" s="311">
        <v>0</v>
      </c>
      <c r="M23" s="311">
        <v>1</v>
      </c>
      <c r="N23" s="311">
        <v>1</v>
      </c>
      <c r="O23" s="350">
        <f t="shared" si="0"/>
        <v>30</v>
      </c>
      <c r="P23" s="350">
        <f t="shared" si="1"/>
        <v>25</v>
      </c>
      <c r="S23" s="331"/>
      <c r="T23" s="331"/>
    </row>
    <row r="24" spans="1:20" s="352" customFormat="1" ht="13" customHeight="1" x14ac:dyDescent="0.2">
      <c r="A24" s="34">
        <v>18</v>
      </c>
      <c r="B24" s="35" t="s">
        <v>183</v>
      </c>
      <c r="C24" s="311">
        <v>0</v>
      </c>
      <c r="D24" s="311">
        <v>0</v>
      </c>
      <c r="E24" s="311">
        <v>9</v>
      </c>
      <c r="F24" s="311">
        <v>14.59</v>
      </c>
      <c r="G24" s="311">
        <v>0</v>
      </c>
      <c r="H24" s="311">
        <v>0</v>
      </c>
      <c r="I24" s="311">
        <v>0</v>
      </c>
      <c r="J24" s="311">
        <v>0</v>
      </c>
      <c r="K24" s="311">
        <v>0</v>
      </c>
      <c r="L24" s="311">
        <v>0</v>
      </c>
      <c r="M24" s="311">
        <v>0</v>
      </c>
      <c r="N24" s="311">
        <v>0</v>
      </c>
      <c r="O24" s="350">
        <f t="shared" si="0"/>
        <v>9</v>
      </c>
      <c r="P24" s="350">
        <f t="shared" si="1"/>
        <v>14.59</v>
      </c>
      <c r="Q24" s="331"/>
      <c r="R24" s="331"/>
      <c r="S24" s="331"/>
      <c r="T24" s="331"/>
    </row>
    <row r="25" spans="1:20" ht="13" customHeight="1" x14ac:dyDescent="0.2">
      <c r="A25" s="34">
        <v>19</v>
      </c>
      <c r="B25" s="35" t="s">
        <v>184</v>
      </c>
      <c r="C25" s="311">
        <v>14</v>
      </c>
      <c r="D25" s="311">
        <v>56</v>
      </c>
      <c r="E25" s="311">
        <v>23</v>
      </c>
      <c r="F25" s="311">
        <v>145</v>
      </c>
      <c r="G25" s="311">
        <v>0</v>
      </c>
      <c r="H25" s="311">
        <v>0</v>
      </c>
      <c r="I25" s="311">
        <v>9</v>
      </c>
      <c r="J25" s="311">
        <v>67</v>
      </c>
      <c r="K25" s="311">
        <v>0</v>
      </c>
      <c r="L25" s="311">
        <v>0</v>
      </c>
      <c r="M25" s="311">
        <v>87</v>
      </c>
      <c r="N25" s="311">
        <v>187</v>
      </c>
      <c r="O25" s="350">
        <f t="shared" si="0"/>
        <v>133</v>
      </c>
      <c r="P25" s="350">
        <f t="shared" si="1"/>
        <v>455</v>
      </c>
      <c r="S25" s="331"/>
      <c r="T25" s="331"/>
    </row>
    <row r="26" spans="1:20" ht="13" customHeight="1" x14ac:dyDescent="0.2">
      <c r="A26" s="34">
        <v>20</v>
      </c>
      <c r="B26" s="35" t="s">
        <v>65</v>
      </c>
      <c r="C26" s="311">
        <v>11</v>
      </c>
      <c r="D26" s="311">
        <v>10.52</v>
      </c>
      <c r="E26" s="311">
        <v>473</v>
      </c>
      <c r="F26" s="311">
        <v>1773.51</v>
      </c>
      <c r="G26" s="311">
        <v>0</v>
      </c>
      <c r="H26" s="311">
        <v>0</v>
      </c>
      <c r="I26" s="311">
        <v>86</v>
      </c>
      <c r="J26" s="311">
        <v>363.24</v>
      </c>
      <c r="K26" s="311">
        <v>0</v>
      </c>
      <c r="L26" s="311">
        <v>0</v>
      </c>
      <c r="M26" s="311">
        <v>27</v>
      </c>
      <c r="N26" s="311">
        <v>161.58000000000001</v>
      </c>
      <c r="O26" s="350">
        <f t="shared" si="0"/>
        <v>597</v>
      </c>
      <c r="P26" s="350">
        <f t="shared" si="1"/>
        <v>2308.85</v>
      </c>
      <c r="S26" s="331"/>
      <c r="T26" s="331"/>
    </row>
    <row r="27" spans="1:20" ht="13" customHeight="1" x14ac:dyDescent="0.2">
      <c r="A27" s="34">
        <v>21</v>
      </c>
      <c r="B27" s="35" t="s">
        <v>66</v>
      </c>
      <c r="C27" s="311">
        <v>31</v>
      </c>
      <c r="D27" s="311">
        <v>114</v>
      </c>
      <c r="E27" s="311">
        <v>2464</v>
      </c>
      <c r="F27" s="311">
        <v>6048</v>
      </c>
      <c r="G27" s="311">
        <v>5</v>
      </c>
      <c r="H27" s="311">
        <v>7</v>
      </c>
      <c r="I27" s="311">
        <v>193</v>
      </c>
      <c r="J27" s="311">
        <v>1790</v>
      </c>
      <c r="K27" s="311">
        <v>39</v>
      </c>
      <c r="L27" s="311">
        <v>31</v>
      </c>
      <c r="M27" s="311">
        <v>53</v>
      </c>
      <c r="N27" s="311">
        <v>1106</v>
      </c>
      <c r="O27" s="350">
        <f t="shared" si="0"/>
        <v>2785</v>
      </c>
      <c r="P27" s="350">
        <f t="shared" si="1"/>
        <v>9096</v>
      </c>
      <c r="S27" s="331"/>
      <c r="T27" s="331"/>
    </row>
    <row r="28" spans="1:20" ht="13" customHeight="1" x14ac:dyDescent="0.2">
      <c r="A28" s="34">
        <v>22</v>
      </c>
      <c r="B28" s="35" t="s">
        <v>75</v>
      </c>
      <c r="C28" s="311">
        <v>6</v>
      </c>
      <c r="D28" s="311">
        <v>3.76</v>
      </c>
      <c r="E28" s="311">
        <v>352</v>
      </c>
      <c r="F28" s="311">
        <v>675</v>
      </c>
      <c r="G28" s="311">
        <v>0</v>
      </c>
      <c r="H28" s="311">
        <v>0</v>
      </c>
      <c r="I28" s="311">
        <v>66</v>
      </c>
      <c r="J28" s="311">
        <v>123</v>
      </c>
      <c r="K28" s="311">
        <v>1</v>
      </c>
      <c r="L28" s="311">
        <v>2.61</v>
      </c>
      <c r="M28" s="311">
        <v>139</v>
      </c>
      <c r="N28" s="311">
        <v>515</v>
      </c>
      <c r="O28" s="350">
        <f t="shared" si="0"/>
        <v>564</v>
      </c>
      <c r="P28" s="350">
        <f t="shared" si="1"/>
        <v>1319.37</v>
      </c>
      <c r="S28" s="331"/>
      <c r="T28" s="331"/>
    </row>
    <row r="29" spans="1:20" ht="13" customHeight="1" x14ac:dyDescent="0.2">
      <c r="A29" s="34">
        <v>23</v>
      </c>
      <c r="B29" s="35" t="s">
        <v>379</v>
      </c>
      <c r="C29" s="311">
        <v>0</v>
      </c>
      <c r="D29" s="311">
        <v>0</v>
      </c>
      <c r="E29" s="311">
        <v>0</v>
      </c>
      <c r="F29" s="311">
        <v>0</v>
      </c>
      <c r="G29" s="311">
        <v>0</v>
      </c>
      <c r="H29" s="311">
        <v>0</v>
      </c>
      <c r="I29" s="311">
        <v>0</v>
      </c>
      <c r="J29" s="311">
        <v>0</v>
      </c>
      <c r="K29" s="311">
        <v>0</v>
      </c>
      <c r="L29" s="311">
        <v>0</v>
      </c>
      <c r="M29" s="311">
        <v>0</v>
      </c>
      <c r="N29" s="311">
        <v>0</v>
      </c>
      <c r="O29" s="350">
        <f t="shared" si="0"/>
        <v>0</v>
      </c>
      <c r="P29" s="350">
        <f t="shared" si="1"/>
        <v>0</v>
      </c>
      <c r="S29" s="331"/>
      <c r="T29" s="331"/>
    </row>
    <row r="30" spans="1:20" ht="13" customHeight="1" x14ac:dyDescent="0.2">
      <c r="A30" s="34">
        <v>24</v>
      </c>
      <c r="B30" s="35" t="s">
        <v>185</v>
      </c>
      <c r="C30" s="311">
        <v>99</v>
      </c>
      <c r="D30" s="311">
        <v>166</v>
      </c>
      <c r="E30" s="311">
        <v>13187</v>
      </c>
      <c r="F30" s="311">
        <v>6342</v>
      </c>
      <c r="G30" s="311">
        <v>5</v>
      </c>
      <c r="H30" s="311">
        <v>7</v>
      </c>
      <c r="I30" s="311">
        <v>295</v>
      </c>
      <c r="J30" s="311">
        <v>1364</v>
      </c>
      <c r="K30" s="311">
        <v>0</v>
      </c>
      <c r="L30" s="311">
        <v>0</v>
      </c>
      <c r="M30" s="311">
        <v>94</v>
      </c>
      <c r="N30" s="311">
        <v>409</v>
      </c>
      <c r="O30" s="350">
        <f t="shared" si="0"/>
        <v>13680</v>
      </c>
      <c r="P30" s="350">
        <f t="shared" si="1"/>
        <v>8288</v>
      </c>
      <c r="S30" s="331"/>
      <c r="T30" s="331"/>
    </row>
    <row r="31" spans="1:20" ht="13" customHeight="1" x14ac:dyDescent="0.2">
      <c r="A31" s="34">
        <v>25</v>
      </c>
      <c r="B31" s="35" t="s">
        <v>186</v>
      </c>
      <c r="C31" s="311">
        <v>0</v>
      </c>
      <c r="D31" s="311">
        <v>0</v>
      </c>
      <c r="E31" s="311">
        <v>2</v>
      </c>
      <c r="F31" s="311">
        <v>2</v>
      </c>
      <c r="G31" s="311">
        <v>0</v>
      </c>
      <c r="H31" s="311">
        <v>0</v>
      </c>
      <c r="I31" s="311">
        <v>0</v>
      </c>
      <c r="J31" s="311">
        <v>0</v>
      </c>
      <c r="K31" s="311">
        <v>0</v>
      </c>
      <c r="L31" s="311">
        <v>0</v>
      </c>
      <c r="M31" s="311">
        <v>0</v>
      </c>
      <c r="N31" s="311">
        <v>0</v>
      </c>
      <c r="O31" s="350">
        <f t="shared" si="0"/>
        <v>2</v>
      </c>
      <c r="P31" s="350">
        <f t="shared" si="1"/>
        <v>2</v>
      </c>
      <c r="S31" s="331"/>
      <c r="T31" s="331"/>
    </row>
    <row r="32" spans="1:20" ht="13" customHeight="1" x14ac:dyDescent="0.2">
      <c r="A32" s="34">
        <v>26</v>
      </c>
      <c r="B32" s="35" t="s">
        <v>187</v>
      </c>
      <c r="C32" s="311">
        <v>0</v>
      </c>
      <c r="D32" s="311">
        <v>0</v>
      </c>
      <c r="E32" s="311">
        <v>3</v>
      </c>
      <c r="F32" s="311">
        <v>5.33</v>
      </c>
      <c r="G32" s="311">
        <v>0</v>
      </c>
      <c r="H32" s="311">
        <v>0</v>
      </c>
      <c r="I32" s="311">
        <v>0</v>
      </c>
      <c r="J32" s="311">
        <v>0</v>
      </c>
      <c r="K32" s="311">
        <v>0</v>
      </c>
      <c r="L32" s="311">
        <v>0</v>
      </c>
      <c r="M32" s="311">
        <v>0</v>
      </c>
      <c r="N32" s="311">
        <v>0</v>
      </c>
      <c r="O32" s="350">
        <f t="shared" si="0"/>
        <v>3</v>
      </c>
      <c r="P32" s="350">
        <f t="shared" si="1"/>
        <v>5.33</v>
      </c>
      <c r="S32" s="331"/>
      <c r="T32" s="331"/>
    </row>
    <row r="33" spans="1:20" ht="13" customHeight="1" x14ac:dyDescent="0.2">
      <c r="A33" s="34">
        <v>27</v>
      </c>
      <c r="B33" s="35" t="s">
        <v>188</v>
      </c>
      <c r="C33" s="311">
        <v>0</v>
      </c>
      <c r="D33" s="311">
        <v>0</v>
      </c>
      <c r="E33" s="311">
        <v>0</v>
      </c>
      <c r="F33" s="311">
        <v>0</v>
      </c>
      <c r="G33" s="311">
        <v>0</v>
      </c>
      <c r="H33" s="311">
        <v>0</v>
      </c>
      <c r="I33" s="311">
        <v>0</v>
      </c>
      <c r="J33" s="311">
        <v>0</v>
      </c>
      <c r="K33" s="311">
        <v>0</v>
      </c>
      <c r="L33" s="311">
        <v>0</v>
      </c>
      <c r="M33" s="311">
        <v>0</v>
      </c>
      <c r="N33" s="311">
        <v>0</v>
      </c>
      <c r="O33" s="350">
        <f t="shared" si="0"/>
        <v>0</v>
      </c>
      <c r="P33" s="350">
        <f t="shared" si="1"/>
        <v>0</v>
      </c>
      <c r="S33" s="331"/>
      <c r="T33" s="331"/>
    </row>
    <row r="34" spans="1:20" ht="13" customHeight="1" x14ac:dyDescent="0.2">
      <c r="A34" s="34">
        <v>28</v>
      </c>
      <c r="B34" s="35" t="s">
        <v>67</v>
      </c>
      <c r="C34" s="311">
        <v>4</v>
      </c>
      <c r="D34" s="311">
        <v>1.5</v>
      </c>
      <c r="E34" s="311">
        <v>47</v>
      </c>
      <c r="F34" s="311">
        <v>403.67</v>
      </c>
      <c r="G34" s="311">
        <v>4</v>
      </c>
      <c r="H34" s="311">
        <v>24.75</v>
      </c>
      <c r="I34" s="311">
        <v>25</v>
      </c>
      <c r="J34" s="311">
        <v>464.67</v>
      </c>
      <c r="K34" s="311">
        <v>0</v>
      </c>
      <c r="L34" s="311">
        <v>0</v>
      </c>
      <c r="M34" s="311">
        <v>48</v>
      </c>
      <c r="N34" s="311">
        <v>1091.06</v>
      </c>
      <c r="O34" s="350">
        <f t="shared" si="0"/>
        <v>128</v>
      </c>
      <c r="P34" s="350">
        <f t="shared" si="1"/>
        <v>1985.65</v>
      </c>
      <c r="S34" s="331"/>
      <c r="T34" s="331"/>
    </row>
    <row r="35" spans="1:20" ht="13" customHeight="1" x14ac:dyDescent="0.2">
      <c r="A35" s="34">
        <v>29</v>
      </c>
      <c r="B35" s="35" t="s">
        <v>189</v>
      </c>
      <c r="C35" s="311">
        <v>0</v>
      </c>
      <c r="D35" s="311">
        <v>0</v>
      </c>
      <c r="E35" s="311">
        <v>0</v>
      </c>
      <c r="F35" s="311">
        <v>0</v>
      </c>
      <c r="G35" s="311">
        <v>0</v>
      </c>
      <c r="H35" s="311">
        <v>0</v>
      </c>
      <c r="I35" s="311">
        <v>0</v>
      </c>
      <c r="J35" s="311">
        <v>0</v>
      </c>
      <c r="K35" s="311">
        <v>0</v>
      </c>
      <c r="L35" s="311">
        <v>0</v>
      </c>
      <c r="M35" s="311">
        <v>0</v>
      </c>
      <c r="N35" s="311">
        <v>0</v>
      </c>
      <c r="O35" s="350">
        <f t="shared" si="0"/>
        <v>0</v>
      </c>
      <c r="P35" s="350">
        <f t="shared" si="1"/>
        <v>0</v>
      </c>
      <c r="S35" s="331"/>
      <c r="T35" s="331"/>
    </row>
    <row r="36" spans="1:20" ht="13" customHeight="1" x14ac:dyDescent="0.2">
      <c r="A36" s="34">
        <v>30</v>
      </c>
      <c r="B36" s="35" t="s">
        <v>190</v>
      </c>
      <c r="C36" s="311">
        <v>2</v>
      </c>
      <c r="D36" s="311">
        <v>1</v>
      </c>
      <c r="E36" s="311">
        <v>1074</v>
      </c>
      <c r="F36" s="311">
        <v>305</v>
      </c>
      <c r="G36" s="311">
        <v>4</v>
      </c>
      <c r="H36" s="311">
        <v>1</v>
      </c>
      <c r="I36" s="311">
        <v>9</v>
      </c>
      <c r="J36" s="311">
        <v>2</v>
      </c>
      <c r="K36" s="311">
        <v>17</v>
      </c>
      <c r="L36" s="311">
        <v>45</v>
      </c>
      <c r="M36" s="311">
        <v>0</v>
      </c>
      <c r="N36" s="311">
        <v>0</v>
      </c>
      <c r="O36" s="350">
        <f t="shared" si="0"/>
        <v>1106</v>
      </c>
      <c r="P36" s="350">
        <f t="shared" si="1"/>
        <v>354</v>
      </c>
      <c r="S36" s="331"/>
      <c r="T36" s="331"/>
    </row>
    <row r="37" spans="1:20" ht="13" customHeight="1" x14ac:dyDescent="0.2">
      <c r="A37" s="34">
        <v>31</v>
      </c>
      <c r="B37" s="35" t="s">
        <v>191</v>
      </c>
      <c r="C37" s="311">
        <v>19</v>
      </c>
      <c r="D37" s="311">
        <v>20</v>
      </c>
      <c r="E37" s="311">
        <v>0</v>
      </c>
      <c r="F37" s="311">
        <v>0</v>
      </c>
      <c r="G37" s="311">
        <v>0</v>
      </c>
      <c r="H37" s="311">
        <v>0</v>
      </c>
      <c r="I37" s="311">
        <v>0</v>
      </c>
      <c r="J37" s="311">
        <v>0</v>
      </c>
      <c r="K37" s="311">
        <v>0</v>
      </c>
      <c r="L37" s="311">
        <v>0</v>
      </c>
      <c r="M37" s="311">
        <v>0</v>
      </c>
      <c r="N37" s="311">
        <v>0</v>
      </c>
      <c r="O37" s="350">
        <f t="shared" si="0"/>
        <v>19</v>
      </c>
      <c r="P37" s="350">
        <f t="shared" si="1"/>
        <v>20</v>
      </c>
      <c r="S37" s="331"/>
      <c r="T37" s="331"/>
    </row>
    <row r="38" spans="1:20" ht="13" customHeight="1" x14ac:dyDescent="0.2">
      <c r="A38" s="34">
        <v>32</v>
      </c>
      <c r="B38" s="35" t="s">
        <v>71</v>
      </c>
      <c r="C38" s="311">
        <v>0</v>
      </c>
      <c r="D38" s="311">
        <v>0</v>
      </c>
      <c r="E38" s="311">
        <v>0</v>
      </c>
      <c r="F38" s="311">
        <v>0</v>
      </c>
      <c r="G38" s="311">
        <v>0</v>
      </c>
      <c r="H38" s="311">
        <v>0</v>
      </c>
      <c r="I38" s="311">
        <v>0</v>
      </c>
      <c r="J38" s="311">
        <v>0</v>
      </c>
      <c r="K38" s="311">
        <v>0</v>
      </c>
      <c r="L38" s="311">
        <v>0</v>
      </c>
      <c r="M38" s="311">
        <v>0</v>
      </c>
      <c r="N38" s="311">
        <v>0</v>
      </c>
      <c r="O38" s="350">
        <f t="shared" si="0"/>
        <v>0</v>
      </c>
      <c r="P38" s="350">
        <f t="shared" si="1"/>
        <v>0</v>
      </c>
      <c r="S38" s="331"/>
      <c r="T38" s="331"/>
    </row>
    <row r="39" spans="1:20" ht="13" customHeight="1" x14ac:dyDescent="0.2">
      <c r="A39" s="34">
        <v>33</v>
      </c>
      <c r="B39" s="35" t="s">
        <v>192</v>
      </c>
      <c r="C39" s="311">
        <v>0</v>
      </c>
      <c r="D39" s="311">
        <v>0</v>
      </c>
      <c r="E39" s="311">
        <v>10</v>
      </c>
      <c r="F39" s="311">
        <v>20</v>
      </c>
      <c r="G39" s="311">
        <v>0</v>
      </c>
      <c r="H39" s="311">
        <v>0</v>
      </c>
      <c r="I39" s="311">
        <v>1</v>
      </c>
      <c r="J39" s="311">
        <v>10</v>
      </c>
      <c r="K39" s="311">
        <v>0</v>
      </c>
      <c r="L39" s="311">
        <v>0</v>
      </c>
      <c r="M39" s="311">
        <v>2</v>
      </c>
      <c r="N39" s="311">
        <v>8.16</v>
      </c>
      <c r="O39" s="350">
        <f t="shared" si="0"/>
        <v>13</v>
      </c>
      <c r="P39" s="350">
        <f t="shared" si="1"/>
        <v>38.159999999999997</v>
      </c>
      <c r="S39" s="331"/>
      <c r="T39" s="331"/>
    </row>
    <row r="40" spans="1:20" ht="13" customHeight="1" x14ac:dyDescent="0.2">
      <c r="A40" s="34">
        <v>34</v>
      </c>
      <c r="B40" s="35" t="s">
        <v>70</v>
      </c>
      <c r="C40" s="311">
        <v>1</v>
      </c>
      <c r="D40" s="311">
        <v>11</v>
      </c>
      <c r="E40" s="311">
        <v>77</v>
      </c>
      <c r="F40" s="311">
        <v>553</v>
      </c>
      <c r="G40" s="311">
        <v>0</v>
      </c>
      <c r="H40" s="311">
        <v>0</v>
      </c>
      <c r="I40" s="311">
        <v>2</v>
      </c>
      <c r="J40" s="311">
        <v>68</v>
      </c>
      <c r="K40" s="311">
        <v>0</v>
      </c>
      <c r="L40" s="311">
        <v>0</v>
      </c>
      <c r="M40" s="311">
        <v>65</v>
      </c>
      <c r="N40" s="311">
        <v>2044</v>
      </c>
      <c r="O40" s="350">
        <f t="shared" si="0"/>
        <v>145</v>
      </c>
      <c r="P40" s="350">
        <f t="shared" si="1"/>
        <v>2676</v>
      </c>
      <c r="S40" s="331"/>
      <c r="T40" s="331"/>
    </row>
    <row r="41" spans="1:20" s="352" customFormat="1" ht="13" customHeight="1" x14ac:dyDescent="0.2">
      <c r="A41" s="294"/>
      <c r="B41" s="65" t="s">
        <v>213</v>
      </c>
      <c r="C41" s="351">
        <f>SUM(C19:C40)</f>
        <v>259</v>
      </c>
      <c r="D41" s="351">
        <f t="shared" ref="D41:P41" si="3">SUM(D19:D40)</f>
        <v>520.46</v>
      </c>
      <c r="E41" s="351">
        <f t="shared" si="3"/>
        <v>25000</v>
      </c>
      <c r="F41" s="351">
        <f t="shared" si="3"/>
        <v>22280.65</v>
      </c>
      <c r="G41" s="351">
        <f t="shared" si="3"/>
        <v>20</v>
      </c>
      <c r="H41" s="351">
        <f t="shared" si="3"/>
        <v>39.96</v>
      </c>
      <c r="I41" s="351">
        <f t="shared" si="3"/>
        <v>987</v>
      </c>
      <c r="J41" s="351">
        <f t="shared" si="3"/>
        <v>4733.37</v>
      </c>
      <c r="K41" s="351">
        <f t="shared" si="3"/>
        <v>57</v>
      </c>
      <c r="L41" s="351">
        <f t="shared" si="3"/>
        <v>78.61</v>
      </c>
      <c r="M41" s="351">
        <f t="shared" si="3"/>
        <v>532</v>
      </c>
      <c r="N41" s="351">
        <f t="shared" si="3"/>
        <v>5535.2199999999993</v>
      </c>
      <c r="O41" s="351">
        <f t="shared" si="3"/>
        <v>26855</v>
      </c>
      <c r="P41" s="351">
        <f t="shared" si="3"/>
        <v>33188.270000000004</v>
      </c>
      <c r="Q41" s="331"/>
      <c r="R41" s="331"/>
      <c r="S41" s="331"/>
      <c r="T41" s="331"/>
    </row>
    <row r="42" spans="1:20" s="352" customFormat="1" ht="13" customHeight="1" x14ac:dyDescent="0.2">
      <c r="A42" s="294"/>
      <c r="B42" s="65" t="s">
        <v>311</v>
      </c>
      <c r="C42" s="289">
        <f>C41+C18</f>
        <v>1864</v>
      </c>
      <c r="D42" s="289">
        <f t="shared" ref="D42:P42" si="4">D41+D18</f>
        <v>3554.16</v>
      </c>
      <c r="E42" s="289">
        <f t="shared" si="4"/>
        <v>41118</v>
      </c>
      <c r="F42" s="289">
        <f t="shared" si="4"/>
        <v>61645.860000000008</v>
      </c>
      <c r="G42" s="289">
        <f t="shared" si="4"/>
        <v>744</v>
      </c>
      <c r="H42" s="289">
        <f t="shared" si="4"/>
        <v>845.47</v>
      </c>
      <c r="I42" s="289">
        <f t="shared" si="4"/>
        <v>6457</v>
      </c>
      <c r="J42" s="289">
        <f t="shared" si="4"/>
        <v>42380.36</v>
      </c>
      <c r="K42" s="289">
        <f t="shared" si="4"/>
        <v>89</v>
      </c>
      <c r="L42" s="289">
        <f t="shared" si="4"/>
        <v>109.09</v>
      </c>
      <c r="M42" s="289">
        <f t="shared" si="4"/>
        <v>7186</v>
      </c>
      <c r="N42" s="289">
        <f t="shared" si="4"/>
        <v>26536.299999999996</v>
      </c>
      <c r="O42" s="289">
        <f t="shared" si="4"/>
        <v>57458</v>
      </c>
      <c r="P42" s="289">
        <f t="shared" si="4"/>
        <v>135071.24000000002</v>
      </c>
      <c r="Q42" s="331"/>
      <c r="R42" s="331"/>
      <c r="S42" s="331"/>
      <c r="T42" s="331"/>
    </row>
    <row r="43" spans="1:20" ht="13" customHeight="1" x14ac:dyDescent="0.2">
      <c r="A43" s="34">
        <v>35</v>
      </c>
      <c r="B43" s="35" t="s">
        <v>193</v>
      </c>
      <c r="C43" s="311">
        <v>26</v>
      </c>
      <c r="D43" s="311">
        <v>57</v>
      </c>
      <c r="E43" s="311">
        <v>909</v>
      </c>
      <c r="F43" s="311">
        <v>1027</v>
      </c>
      <c r="G43" s="311">
        <v>0</v>
      </c>
      <c r="H43" s="311">
        <v>0</v>
      </c>
      <c r="I43" s="311">
        <v>114</v>
      </c>
      <c r="J43" s="311">
        <v>664</v>
      </c>
      <c r="K43" s="311">
        <v>0</v>
      </c>
      <c r="L43" s="311">
        <v>0</v>
      </c>
      <c r="M43" s="311">
        <v>7260</v>
      </c>
      <c r="N43" s="311">
        <v>8761</v>
      </c>
      <c r="O43" s="350">
        <f t="shared" si="0"/>
        <v>8309</v>
      </c>
      <c r="P43" s="350">
        <f t="shared" si="1"/>
        <v>10509</v>
      </c>
      <c r="S43" s="331"/>
      <c r="T43" s="331"/>
    </row>
    <row r="44" spans="1:20" ht="13" customHeight="1" x14ac:dyDescent="0.2">
      <c r="A44" s="34">
        <v>36</v>
      </c>
      <c r="B44" s="35" t="s">
        <v>382</v>
      </c>
      <c r="C44" s="311">
        <v>50</v>
      </c>
      <c r="D44" s="311">
        <v>25.58</v>
      </c>
      <c r="E44" s="311">
        <v>397</v>
      </c>
      <c r="F44" s="311">
        <v>604.04999999999995</v>
      </c>
      <c r="G44" s="311">
        <v>2</v>
      </c>
      <c r="H44" s="311">
        <v>2.8</v>
      </c>
      <c r="I44" s="311">
        <v>16</v>
      </c>
      <c r="J44" s="311">
        <v>21.15</v>
      </c>
      <c r="K44" s="311">
        <v>0</v>
      </c>
      <c r="L44" s="311">
        <v>0</v>
      </c>
      <c r="M44" s="311">
        <v>52</v>
      </c>
      <c r="N44" s="311">
        <v>177.43</v>
      </c>
      <c r="O44" s="350">
        <f t="shared" si="0"/>
        <v>517</v>
      </c>
      <c r="P44" s="350">
        <f t="shared" si="1"/>
        <v>831.01</v>
      </c>
      <c r="S44" s="331"/>
      <c r="T44" s="331"/>
    </row>
    <row r="45" spans="1:20" s="352" customFormat="1" ht="13" customHeight="1" x14ac:dyDescent="0.2">
      <c r="A45" s="294"/>
      <c r="B45" s="65" t="s">
        <v>216</v>
      </c>
      <c r="C45" s="351">
        <f>SUM(C43:C44)</f>
        <v>76</v>
      </c>
      <c r="D45" s="351">
        <f t="shared" ref="D45:P45" si="5">SUM(D43:D44)</f>
        <v>82.58</v>
      </c>
      <c r="E45" s="351">
        <f t="shared" si="5"/>
        <v>1306</v>
      </c>
      <c r="F45" s="351">
        <f t="shared" si="5"/>
        <v>1631.05</v>
      </c>
      <c r="G45" s="351">
        <f t="shared" si="5"/>
        <v>2</v>
      </c>
      <c r="H45" s="351">
        <f t="shared" si="5"/>
        <v>2.8</v>
      </c>
      <c r="I45" s="351">
        <f t="shared" si="5"/>
        <v>130</v>
      </c>
      <c r="J45" s="351">
        <f t="shared" si="5"/>
        <v>685.15</v>
      </c>
      <c r="K45" s="351">
        <f t="shared" si="5"/>
        <v>0</v>
      </c>
      <c r="L45" s="351">
        <f t="shared" si="5"/>
        <v>0</v>
      </c>
      <c r="M45" s="351">
        <f t="shared" si="5"/>
        <v>7312</v>
      </c>
      <c r="N45" s="351">
        <f t="shared" si="5"/>
        <v>8938.43</v>
      </c>
      <c r="O45" s="351">
        <f t="shared" si="5"/>
        <v>8826</v>
      </c>
      <c r="P45" s="351">
        <f t="shared" si="5"/>
        <v>11340.01</v>
      </c>
      <c r="Q45" s="331"/>
      <c r="R45" s="331"/>
      <c r="S45" s="331"/>
      <c r="T45" s="331"/>
    </row>
    <row r="46" spans="1:20" ht="13" customHeight="1" x14ac:dyDescent="0.2">
      <c r="A46" s="34">
        <v>37</v>
      </c>
      <c r="B46" s="35" t="s">
        <v>312</v>
      </c>
      <c r="C46" s="311">
        <v>881</v>
      </c>
      <c r="D46" s="311">
        <v>226</v>
      </c>
      <c r="E46" s="311">
        <v>31540</v>
      </c>
      <c r="F46" s="311">
        <v>18153</v>
      </c>
      <c r="G46" s="311">
        <v>1625</v>
      </c>
      <c r="H46" s="311">
        <v>457</v>
      </c>
      <c r="I46" s="311">
        <v>1765</v>
      </c>
      <c r="J46" s="311">
        <v>1147</v>
      </c>
      <c r="K46" s="311">
        <v>0</v>
      </c>
      <c r="L46" s="311">
        <v>0</v>
      </c>
      <c r="M46" s="311">
        <v>8386</v>
      </c>
      <c r="N46" s="311">
        <v>3001</v>
      </c>
      <c r="O46" s="350">
        <f t="shared" si="0"/>
        <v>44197</v>
      </c>
      <c r="P46" s="350">
        <f t="shared" si="1"/>
        <v>22984</v>
      </c>
      <c r="S46" s="331"/>
      <c r="T46" s="331"/>
    </row>
    <row r="47" spans="1:20" s="352" customFormat="1" ht="13" customHeight="1" x14ac:dyDescent="0.2">
      <c r="A47" s="294"/>
      <c r="B47" s="65" t="s">
        <v>214</v>
      </c>
      <c r="C47" s="351">
        <f>C46</f>
        <v>881</v>
      </c>
      <c r="D47" s="351">
        <f t="shared" ref="D47:P47" si="6">D46</f>
        <v>226</v>
      </c>
      <c r="E47" s="351">
        <f t="shared" si="6"/>
        <v>31540</v>
      </c>
      <c r="F47" s="351">
        <f t="shared" si="6"/>
        <v>18153</v>
      </c>
      <c r="G47" s="351">
        <f t="shared" si="6"/>
        <v>1625</v>
      </c>
      <c r="H47" s="351">
        <f t="shared" si="6"/>
        <v>457</v>
      </c>
      <c r="I47" s="351">
        <f t="shared" si="6"/>
        <v>1765</v>
      </c>
      <c r="J47" s="351">
        <f t="shared" si="6"/>
        <v>1147</v>
      </c>
      <c r="K47" s="351">
        <f t="shared" si="6"/>
        <v>0</v>
      </c>
      <c r="L47" s="351">
        <f t="shared" si="6"/>
        <v>0</v>
      </c>
      <c r="M47" s="351">
        <f t="shared" si="6"/>
        <v>8386</v>
      </c>
      <c r="N47" s="351">
        <f t="shared" si="6"/>
        <v>3001</v>
      </c>
      <c r="O47" s="351">
        <f t="shared" si="6"/>
        <v>44197</v>
      </c>
      <c r="P47" s="351">
        <f t="shared" si="6"/>
        <v>22984</v>
      </c>
      <c r="Q47" s="331"/>
      <c r="R47" s="331"/>
      <c r="S47" s="331"/>
      <c r="T47" s="331"/>
    </row>
    <row r="48" spans="1:20" s="352" customFormat="1" ht="13" customHeight="1" x14ac:dyDescent="0.2">
      <c r="A48" s="34">
        <v>38</v>
      </c>
      <c r="B48" s="35" t="s">
        <v>304</v>
      </c>
      <c r="C48" s="311">
        <v>8</v>
      </c>
      <c r="D48" s="311">
        <v>23</v>
      </c>
      <c r="E48" s="311">
        <v>393</v>
      </c>
      <c r="F48" s="311">
        <v>674</v>
      </c>
      <c r="G48" s="311">
        <v>0</v>
      </c>
      <c r="H48" s="311">
        <v>0</v>
      </c>
      <c r="I48" s="311">
        <v>143</v>
      </c>
      <c r="J48" s="311">
        <v>1371.61</v>
      </c>
      <c r="K48" s="311">
        <v>0</v>
      </c>
      <c r="L48" s="311">
        <v>0</v>
      </c>
      <c r="M48" s="311">
        <v>1540</v>
      </c>
      <c r="N48" s="311">
        <v>12286.7</v>
      </c>
      <c r="O48" s="350">
        <f t="shared" si="0"/>
        <v>2084</v>
      </c>
      <c r="P48" s="350">
        <f t="shared" si="1"/>
        <v>14355.310000000001</v>
      </c>
      <c r="Q48" s="331"/>
      <c r="R48" s="331"/>
      <c r="S48" s="331"/>
      <c r="T48" s="331"/>
    </row>
    <row r="49" spans="1:20" ht="13" customHeight="1" x14ac:dyDescent="0.2">
      <c r="A49" s="34">
        <v>39</v>
      </c>
      <c r="B49" s="35" t="s">
        <v>305</v>
      </c>
      <c r="C49" s="311">
        <v>0</v>
      </c>
      <c r="D49" s="311">
        <v>0</v>
      </c>
      <c r="E49" s="311">
        <v>0</v>
      </c>
      <c r="F49" s="311">
        <v>0</v>
      </c>
      <c r="G49" s="311">
        <v>0</v>
      </c>
      <c r="H49" s="311">
        <v>0</v>
      </c>
      <c r="I49" s="311">
        <v>0</v>
      </c>
      <c r="J49" s="311">
        <v>0</v>
      </c>
      <c r="K49" s="311">
        <v>0</v>
      </c>
      <c r="L49" s="311">
        <v>0</v>
      </c>
      <c r="M49" s="311">
        <v>0</v>
      </c>
      <c r="N49" s="311">
        <v>0</v>
      </c>
      <c r="O49" s="350">
        <f t="shared" si="0"/>
        <v>0</v>
      </c>
      <c r="P49" s="350">
        <f t="shared" si="1"/>
        <v>0</v>
      </c>
      <c r="S49" s="331"/>
      <c r="T49" s="331"/>
    </row>
    <row r="50" spans="1:20" ht="13" customHeight="1" x14ac:dyDescent="0.2">
      <c r="A50" s="34">
        <v>40</v>
      </c>
      <c r="B50" s="35" t="s">
        <v>383</v>
      </c>
      <c r="C50" s="311">
        <v>17</v>
      </c>
      <c r="D50" s="311">
        <v>10.65</v>
      </c>
      <c r="E50" s="311">
        <v>577</v>
      </c>
      <c r="F50" s="311">
        <v>192.33</v>
      </c>
      <c r="G50" s="311">
        <v>3</v>
      </c>
      <c r="H50" s="311">
        <v>1</v>
      </c>
      <c r="I50" s="311">
        <v>6</v>
      </c>
      <c r="J50" s="311">
        <v>2.2000000000000002</v>
      </c>
      <c r="K50" s="311">
        <v>0</v>
      </c>
      <c r="L50" s="311">
        <v>0</v>
      </c>
      <c r="M50" s="311">
        <v>0</v>
      </c>
      <c r="N50" s="311">
        <v>0</v>
      </c>
      <c r="O50" s="350">
        <f t="shared" si="0"/>
        <v>603</v>
      </c>
      <c r="P50" s="350">
        <f t="shared" si="1"/>
        <v>206.18</v>
      </c>
      <c r="S50" s="331"/>
      <c r="T50" s="331"/>
    </row>
    <row r="51" spans="1:20" s="352" customFormat="1" ht="13" customHeight="1" x14ac:dyDescent="0.2">
      <c r="A51" s="34">
        <v>41</v>
      </c>
      <c r="B51" s="35" t="s">
        <v>306</v>
      </c>
      <c r="C51" s="311">
        <v>7</v>
      </c>
      <c r="D51" s="311">
        <v>2.27</v>
      </c>
      <c r="E51" s="311">
        <v>274</v>
      </c>
      <c r="F51" s="311">
        <v>83.1</v>
      </c>
      <c r="G51" s="311">
        <v>0</v>
      </c>
      <c r="H51" s="311">
        <v>0</v>
      </c>
      <c r="I51" s="311">
        <v>0</v>
      </c>
      <c r="J51" s="311">
        <v>0</v>
      </c>
      <c r="K51" s="311">
        <v>0</v>
      </c>
      <c r="L51" s="311">
        <v>0</v>
      </c>
      <c r="M51" s="311">
        <v>0</v>
      </c>
      <c r="N51" s="311">
        <v>0</v>
      </c>
      <c r="O51" s="350">
        <f t="shared" si="0"/>
        <v>281</v>
      </c>
      <c r="P51" s="350">
        <f t="shared" si="1"/>
        <v>85.36999999999999</v>
      </c>
      <c r="Q51" s="331"/>
      <c r="R51" s="331"/>
      <c r="S51" s="331"/>
      <c r="T51" s="331"/>
    </row>
    <row r="52" spans="1:20" ht="13" customHeight="1" x14ac:dyDescent="0.2">
      <c r="A52" s="34">
        <v>42</v>
      </c>
      <c r="B52" s="35" t="s">
        <v>307</v>
      </c>
      <c r="C52" s="311">
        <v>136</v>
      </c>
      <c r="D52" s="311">
        <v>82</v>
      </c>
      <c r="E52" s="311">
        <v>1444</v>
      </c>
      <c r="F52" s="311">
        <v>581</v>
      </c>
      <c r="G52" s="311">
        <v>2172</v>
      </c>
      <c r="H52" s="311">
        <v>1278</v>
      </c>
      <c r="I52" s="311">
        <v>6</v>
      </c>
      <c r="J52" s="311">
        <v>4</v>
      </c>
      <c r="K52" s="311">
        <v>0</v>
      </c>
      <c r="L52" s="311">
        <v>0</v>
      </c>
      <c r="M52" s="311">
        <v>27</v>
      </c>
      <c r="N52" s="311">
        <v>11</v>
      </c>
      <c r="O52" s="350">
        <f t="shared" si="0"/>
        <v>3785</v>
      </c>
      <c r="P52" s="350">
        <f t="shared" si="1"/>
        <v>1956</v>
      </c>
      <c r="S52" s="331"/>
      <c r="T52" s="331"/>
    </row>
    <row r="53" spans="1:20" s="352" customFormat="1" ht="13" customHeight="1" x14ac:dyDescent="0.2">
      <c r="A53" s="34">
        <v>43</v>
      </c>
      <c r="B53" s="35" t="s">
        <v>308</v>
      </c>
      <c r="C53" s="311">
        <v>10</v>
      </c>
      <c r="D53" s="311">
        <v>3.65</v>
      </c>
      <c r="E53" s="311">
        <v>381</v>
      </c>
      <c r="F53" s="311">
        <v>57.84</v>
      </c>
      <c r="G53" s="311">
        <v>0</v>
      </c>
      <c r="H53" s="311">
        <v>0</v>
      </c>
      <c r="I53" s="311">
        <v>0</v>
      </c>
      <c r="J53" s="311">
        <v>0</v>
      </c>
      <c r="K53" s="311">
        <v>1</v>
      </c>
      <c r="L53" s="311">
        <v>0.22</v>
      </c>
      <c r="M53" s="311">
        <v>3</v>
      </c>
      <c r="N53" s="311">
        <v>1.04</v>
      </c>
      <c r="O53" s="350">
        <f t="shared" si="0"/>
        <v>395</v>
      </c>
      <c r="P53" s="350">
        <f t="shared" si="1"/>
        <v>62.75</v>
      </c>
      <c r="Q53" s="331"/>
      <c r="R53" s="331"/>
      <c r="S53" s="331"/>
      <c r="T53" s="331"/>
    </row>
    <row r="54" spans="1:20" ht="13" customHeight="1" x14ac:dyDescent="0.2">
      <c r="A54" s="34">
        <v>44</v>
      </c>
      <c r="B54" s="35" t="s">
        <v>300</v>
      </c>
      <c r="C54" s="311">
        <v>2</v>
      </c>
      <c r="D54" s="311">
        <v>0.56000000000000005</v>
      </c>
      <c r="E54" s="311">
        <v>176</v>
      </c>
      <c r="F54" s="311">
        <v>80.650000000000006</v>
      </c>
      <c r="G54" s="311">
        <v>0</v>
      </c>
      <c r="H54" s="311">
        <v>0</v>
      </c>
      <c r="I54" s="311">
        <v>0</v>
      </c>
      <c r="J54" s="311">
        <v>0</v>
      </c>
      <c r="K54" s="311">
        <v>0</v>
      </c>
      <c r="L54" s="311">
        <v>0</v>
      </c>
      <c r="M54" s="311">
        <v>1</v>
      </c>
      <c r="N54" s="311">
        <v>0.37</v>
      </c>
      <c r="O54" s="350">
        <f t="shared" si="0"/>
        <v>179</v>
      </c>
      <c r="P54" s="350">
        <f t="shared" si="1"/>
        <v>81.580000000000013</v>
      </c>
      <c r="S54" s="331"/>
      <c r="T54" s="331"/>
    </row>
    <row r="55" spans="1:20" ht="13" customHeight="1" x14ac:dyDescent="0.2">
      <c r="A55" s="34">
        <v>45</v>
      </c>
      <c r="B55" s="35" t="s">
        <v>309</v>
      </c>
      <c r="C55" s="311">
        <v>2</v>
      </c>
      <c r="D55" s="311">
        <v>4</v>
      </c>
      <c r="E55" s="311">
        <v>71</v>
      </c>
      <c r="F55" s="311">
        <v>32</v>
      </c>
      <c r="G55" s="311">
        <v>0</v>
      </c>
      <c r="H55" s="311">
        <v>0</v>
      </c>
      <c r="I55" s="311">
        <v>0</v>
      </c>
      <c r="J55" s="311">
        <v>0</v>
      </c>
      <c r="K55" s="311">
        <v>0</v>
      </c>
      <c r="L55" s="311">
        <v>0</v>
      </c>
      <c r="M55" s="311">
        <v>0</v>
      </c>
      <c r="N55" s="311">
        <v>0</v>
      </c>
      <c r="O55" s="350">
        <f t="shared" si="0"/>
        <v>73</v>
      </c>
      <c r="P55" s="350">
        <f t="shared" si="1"/>
        <v>36</v>
      </c>
      <c r="S55" s="331"/>
      <c r="T55" s="331"/>
    </row>
    <row r="56" spans="1:20" s="352" customFormat="1" ht="13" customHeight="1" x14ac:dyDescent="0.2">
      <c r="A56" s="294"/>
      <c r="B56" s="65" t="s">
        <v>310</v>
      </c>
      <c r="C56" s="351">
        <f>SUM(C48:C55)</f>
        <v>182</v>
      </c>
      <c r="D56" s="351">
        <f t="shared" ref="D56:P56" si="7">SUM(D48:D55)</f>
        <v>126.13000000000001</v>
      </c>
      <c r="E56" s="351">
        <f t="shared" si="7"/>
        <v>3316</v>
      </c>
      <c r="F56" s="351">
        <f t="shared" si="7"/>
        <v>1700.92</v>
      </c>
      <c r="G56" s="351">
        <f t="shared" si="7"/>
        <v>2175</v>
      </c>
      <c r="H56" s="351">
        <f t="shared" si="7"/>
        <v>1279</v>
      </c>
      <c r="I56" s="351">
        <f t="shared" si="7"/>
        <v>155</v>
      </c>
      <c r="J56" s="351">
        <f t="shared" si="7"/>
        <v>1377.81</v>
      </c>
      <c r="K56" s="351">
        <f t="shared" si="7"/>
        <v>1</v>
      </c>
      <c r="L56" s="351">
        <f t="shared" si="7"/>
        <v>0.22</v>
      </c>
      <c r="M56" s="351">
        <f t="shared" si="7"/>
        <v>1571</v>
      </c>
      <c r="N56" s="351">
        <f t="shared" si="7"/>
        <v>12299.110000000002</v>
      </c>
      <c r="O56" s="351">
        <f t="shared" si="7"/>
        <v>7400</v>
      </c>
      <c r="P56" s="351">
        <f t="shared" si="7"/>
        <v>16783.190000000002</v>
      </c>
      <c r="Q56" s="331"/>
      <c r="R56" s="331"/>
      <c r="S56" s="331"/>
      <c r="T56" s="331"/>
    </row>
    <row r="57" spans="1:20" s="352" customFormat="1" ht="13" customHeight="1" x14ac:dyDescent="0.2">
      <c r="A57" s="111"/>
      <c r="B57" s="121" t="s">
        <v>0</v>
      </c>
      <c r="C57" s="351">
        <f>C56+C47+C45+C42</f>
        <v>3003</v>
      </c>
      <c r="D57" s="351">
        <f t="shared" ref="D57:P57" si="8">D56+D47+D45+D42</f>
        <v>3988.87</v>
      </c>
      <c r="E57" s="351">
        <f t="shared" si="8"/>
        <v>77280</v>
      </c>
      <c r="F57" s="351">
        <f t="shared" si="8"/>
        <v>83130.83</v>
      </c>
      <c r="G57" s="351">
        <f t="shared" si="8"/>
        <v>4546</v>
      </c>
      <c r="H57" s="351">
        <f t="shared" si="8"/>
        <v>2584.27</v>
      </c>
      <c r="I57" s="351">
        <f t="shared" si="8"/>
        <v>8507</v>
      </c>
      <c r="J57" s="351">
        <f t="shared" si="8"/>
        <v>45590.32</v>
      </c>
      <c r="K57" s="351">
        <f t="shared" si="8"/>
        <v>90</v>
      </c>
      <c r="L57" s="351">
        <f t="shared" si="8"/>
        <v>109.31</v>
      </c>
      <c r="M57" s="351">
        <f t="shared" si="8"/>
        <v>24455</v>
      </c>
      <c r="N57" s="351">
        <f t="shared" si="8"/>
        <v>50774.84</v>
      </c>
      <c r="O57" s="351">
        <f t="shared" si="8"/>
        <v>117881</v>
      </c>
      <c r="P57" s="351">
        <f t="shared" si="8"/>
        <v>186178.44000000003</v>
      </c>
      <c r="Q57" s="331"/>
      <c r="R57" s="331"/>
      <c r="S57" s="331"/>
      <c r="T57" s="331"/>
    </row>
    <row r="58" spans="1:20" x14ac:dyDescent="0.2">
      <c r="A58" s="353"/>
      <c r="H58" s="104" t="s">
        <v>1091</v>
      </c>
      <c r="S58" s="331"/>
      <c r="T58" s="331"/>
    </row>
    <row r="60" spans="1:20" x14ac:dyDescent="0.2"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  <c r="P60" s="354"/>
    </row>
  </sheetData>
  <mergeCells count="13"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K4:L4"/>
    <mergeCell ref="A2:P2"/>
  </mergeCells>
  <conditionalFormatting sqref="M3">
    <cfRule type="cellIs" dxfId="8" priority="21" operator="lessThan">
      <formula>0</formula>
    </cfRule>
  </conditionalFormatting>
  <conditionalFormatting sqref="Q1:R1048576 R6:T58">
    <cfRule type="cellIs" dxfId="7" priority="2" operator="greaterThan">
      <formula>100</formula>
    </cfRule>
    <cfRule type="cellIs" dxfId="6" priority="3" operator="greaterThan">
      <formula>100</formula>
    </cfRule>
    <cfRule type="cellIs" dxfId="5" priority="4" operator="greaterThan">
      <formula>100</formula>
    </cfRule>
  </conditionalFormatting>
  <conditionalFormatting sqref="Q1:T1048576">
    <cfRule type="cellIs" dxfId="4" priority="1" operator="greaterThan">
      <formula>100</formula>
    </cfRule>
  </conditionalFormatting>
  <pageMargins left="0.5" right="0" top="1.25" bottom="0.75" header="0.3" footer="0.3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G62"/>
  <sheetViews>
    <sheetView zoomScaleNormal="100" workbookViewId="0">
      <pane xSplit="2" ySplit="5" topLeftCell="C17" activePane="bottomRight" state="frozen"/>
      <selection pane="topRight" activeCell="C1" sqref="C1"/>
      <selection pane="bottomLeft" activeCell="A6" sqref="A6"/>
      <selection pane="bottomRight" activeCell="C60" sqref="C60:F62"/>
    </sheetView>
  </sheetViews>
  <sheetFormatPr baseColWidth="10" defaultColWidth="9.19921875" defaultRowHeight="13" x14ac:dyDescent="0.2"/>
  <cols>
    <col min="1" max="1" width="6" style="116" customWidth="1"/>
    <col min="2" max="2" width="24.3984375" style="116" bestFit="1" customWidth="1"/>
    <col min="3" max="3" width="13.19921875" style="54" customWidth="1"/>
    <col min="4" max="4" width="14.796875" style="54" customWidth="1"/>
    <col min="5" max="5" width="13.3984375" style="54" customWidth="1"/>
    <col min="6" max="6" width="14.59765625" style="54" customWidth="1"/>
    <col min="7" max="7" width="10" style="54" bestFit="1" customWidth="1"/>
    <col min="8" max="16384" width="9.19921875" style="116"/>
  </cols>
  <sheetData>
    <row r="1" spans="1:6" ht="15.75" customHeight="1" x14ac:dyDescent="0.2">
      <c r="A1" s="458" t="s">
        <v>1040</v>
      </c>
      <c r="B1" s="458"/>
      <c r="C1" s="458"/>
      <c r="D1" s="458"/>
      <c r="E1" s="458"/>
      <c r="F1" s="458"/>
    </row>
    <row r="2" spans="1:6" ht="14" x14ac:dyDescent="0.2">
      <c r="A2" s="30"/>
      <c r="B2" s="30"/>
      <c r="C2" s="58"/>
      <c r="D2" s="58"/>
      <c r="E2" s="58"/>
      <c r="F2" s="58"/>
    </row>
    <row r="3" spans="1:6" ht="15" customHeight="1" x14ac:dyDescent="0.2">
      <c r="A3" s="348"/>
      <c r="B3" s="481" t="s">
        <v>11</v>
      </c>
      <c r="C3" s="481"/>
      <c r="D3" s="481"/>
      <c r="F3" s="355" t="s">
        <v>168</v>
      </c>
    </row>
    <row r="4" spans="1:6" ht="14.25" customHeight="1" x14ac:dyDescent="0.2">
      <c r="A4" s="468" t="s">
        <v>194</v>
      </c>
      <c r="B4" s="468" t="s">
        <v>2</v>
      </c>
      <c r="C4" s="470" t="s">
        <v>166</v>
      </c>
      <c r="D4" s="480"/>
      <c r="E4" s="455" t="s">
        <v>167</v>
      </c>
      <c r="F4" s="455"/>
    </row>
    <row r="5" spans="1:6" ht="15" x14ac:dyDescent="0.2">
      <c r="A5" s="469"/>
      <c r="B5" s="471"/>
      <c r="C5" s="381" t="s">
        <v>27</v>
      </c>
      <c r="D5" s="382" t="s">
        <v>15</v>
      </c>
      <c r="E5" s="381" t="s">
        <v>27</v>
      </c>
      <c r="F5" s="381" t="s">
        <v>15</v>
      </c>
    </row>
    <row r="6" spans="1:6" ht="13" customHeight="1" x14ac:dyDescent="0.2">
      <c r="A6" s="105">
        <v>1</v>
      </c>
      <c r="B6" s="40" t="s">
        <v>51</v>
      </c>
      <c r="C6" s="40">
        <v>27541</v>
      </c>
      <c r="D6" s="40">
        <v>29458</v>
      </c>
      <c r="E6" s="40">
        <v>38824</v>
      </c>
      <c r="F6" s="40">
        <v>39652</v>
      </c>
    </row>
    <row r="7" spans="1:6" ht="13" customHeight="1" x14ac:dyDescent="0.2">
      <c r="A7" s="105">
        <v>2</v>
      </c>
      <c r="B7" s="40" t="s">
        <v>52</v>
      </c>
      <c r="C7" s="40">
        <v>43764</v>
      </c>
      <c r="D7" s="40">
        <v>68802.600000000006</v>
      </c>
      <c r="E7" s="40">
        <v>29176</v>
      </c>
      <c r="F7" s="40">
        <v>45868.81</v>
      </c>
    </row>
    <row r="8" spans="1:6" ht="13" customHeight="1" x14ac:dyDescent="0.2">
      <c r="A8" s="105">
        <v>3</v>
      </c>
      <c r="B8" s="40" t="s">
        <v>53</v>
      </c>
      <c r="C8" s="40">
        <v>7007</v>
      </c>
      <c r="D8" s="40">
        <v>9014.34</v>
      </c>
      <c r="E8" s="40">
        <v>10381</v>
      </c>
      <c r="F8" s="40">
        <v>13528.09</v>
      </c>
    </row>
    <row r="9" spans="1:6" ht="13" customHeight="1" x14ac:dyDescent="0.2">
      <c r="A9" s="105">
        <v>4</v>
      </c>
      <c r="B9" s="40" t="s">
        <v>54</v>
      </c>
      <c r="C9" s="40">
        <v>12001</v>
      </c>
      <c r="D9" s="40">
        <v>22034.95</v>
      </c>
      <c r="E9" s="40">
        <v>15514</v>
      </c>
      <c r="F9" s="40">
        <v>27161.55</v>
      </c>
    </row>
    <row r="10" spans="1:6" ht="13" customHeight="1" x14ac:dyDescent="0.2">
      <c r="A10" s="105">
        <v>5</v>
      </c>
      <c r="B10" s="40" t="s">
        <v>55</v>
      </c>
      <c r="C10" s="40">
        <v>51974</v>
      </c>
      <c r="D10" s="40">
        <v>57890</v>
      </c>
      <c r="E10" s="40">
        <v>63072</v>
      </c>
      <c r="F10" s="40">
        <v>72416</v>
      </c>
    </row>
    <row r="11" spans="1:6" ht="13" customHeight="1" x14ac:dyDescent="0.2">
      <c r="A11" s="105">
        <v>6</v>
      </c>
      <c r="B11" s="40" t="s">
        <v>56</v>
      </c>
      <c r="C11" s="40">
        <v>15589</v>
      </c>
      <c r="D11" s="40">
        <v>25988</v>
      </c>
      <c r="E11" s="40">
        <v>10109</v>
      </c>
      <c r="F11" s="40">
        <v>18596</v>
      </c>
    </row>
    <row r="12" spans="1:6" ht="13" customHeight="1" x14ac:dyDescent="0.2">
      <c r="A12" s="105">
        <v>7</v>
      </c>
      <c r="B12" s="40" t="s">
        <v>57</v>
      </c>
      <c r="C12" s="40">
        <v>2096</v>
      </c>
      <c r="D12" s="40">
        <v>5113</v>
      </c>
      <c r="E12" s="40">
        <v>1682</v>
      </c>
      <c r="F12" s="40">
        <v>3911</v>
      </c>
    </row>
    <row r="13" spans="1:6" ht="13" customHeight="1" x14ac:dyDescent="0.2">
      <c r="A13" s="105">
        <v>8</v>
      </c>
      <c r="B13" s="40" t="s">
        <v>178</v>
      </c>
      <c r="C13" s="40">
        <v>911</v>
      </c>
      <c r="D13" s="40">
        <v>1757</v>
      </c>
      <c r="E13" s="40">
        <v>339</v>
      </c>
      <c r="F13" s="40">
        <v>669</v>
      </c>
    </row>
    <row r="14" spans="1:6" ht="13" customHeight="1" x14ac:dyDescent="0.2">
      <c r="A14" s="105">
        <v>9</v>
      </c>
      <c r="B14" s="40" t="s">
        <v>58</v>
      </c>
      <c r="C14" s="40">
        <v>23253</v>
      </c>
      <c r="D14" s="40">
        <v>33314.089999999997</v>
      </c>
      <c r="E14" s="40">
        <v>15654</v>
      </c>
      <c r="F14" s="40">
        <v>22195.58</v>
      </c>
    </row>
    <row r="15" spans="1:6" ht="13" customHeight="1" x14ac:dyDescent="0.2">
      <c r="A15" s="105">
        <v>10</v>
      </c>
      <c r="B15" s="40" t="s">
        <v>64</v>
      </c>
      <c r="C15" s="40">
        <v>149016</v>
      </c>
      <c r="D15" s="40">
        <v>346048</v>
      </c>
      <c r="E15" s="40">
        <v>106492</v>
      </c>
      <c r="F15" s="40">
        <v>271388</v>
      </c>
    </row>
    <row r="16" spans="1:6" ht="13" customHeight="1" x14ac:dyDescent="0.2">
      <c r="A16" s="105">
        <v>11</v>
      </c>
      <c r="B16" s="40" t="s">
        <v>179</v>
      </c>
      <c r="C16" s="40">
        <v>10101</v>
      </c>
      <c r="D16" s="40">
        <v>15033</v>
      </c>
      <c r="E16" s="40">
        <v>4645</v>
      </c>
      <c r="F16" s="40">
        <v>7837</v>
      </c>
    </row>
    <row r="17" spans="1:7" ht="13" customHeight="1" x14ac:dyDescent="0.2">
      <c r="A17" s="105">
        <v>12</v>
      </c>
      <c r="B17" s="40" t="s">
        <v>60</v>
      </c>
      <c r="C17" s="40">
        <v>30114</v>
      </c>
      <c r="D17" s="40">
        <v>42420</v>
      </c>
      <c r="E17" s="40">
        <v>23373</v>
      </c>
      <c r="F17" s="40">
        <v>42602</v>
      </c>
    </row>
    <row r="18" spans="1:7" s="120" customFormat="1" ht="13" customHeight="1" x14ac:dyDescent="0.2">
      <c r="A18" s="379"/>
      <c r="B18" s="42" t="s">
        <v>215</v>
      </c>
      <c r="C18" s="42">
        <f>SUM(C6:C17)</f>
        <v>373367</v>
      </c>
      <c r="D18" s="42">
        <f t="shared" ref="D18:F18" si="0">SUM(D6:D17)</f>
        <v>656872.98</v>
      </c>
      <c r="E18" s="42">
        <f t="shared" si="0"/>
        <v>319261</v>
      </c>
      <c r="F18" s="42">
        <f t="shared" si="0"/>
        <v>565825.03</v>
      </c>
      <c r="G18" s="104"/>
    </row>
    <row r="19" spans="1:7" ht="13" customHeight="1" x14ac:dyDescent="0.2">
      <c r="A19" s="105">
        <v>13</v>
      </c>
      <c r="B19" s="40" t="s">
        <v>41</v>
      </c>
      <c r="C19" s="40">
        <v>32734</v>
      </c>
      <c r="D19" s="40">
        <v>13306.56</v>
      </c>
      <c r="E19" s="40">
        <v>14438</v>
      </c>
      <c r="F19" s="40">
        <v>7652.55</v>
      </c>
    </row>
    <row r="20" spans="1:7" ht="13" customHeight="1" x14ac:dyDescent="0.2">
      <c r="A20" s="105">
        <v>14</v>
      </c>
      <c r="B20" s="40" t="s">
        <v>180</v>
      </c>
      <c r="C20" s="40">
        <v>48263</v>
      </c>
      <c r="D20" s="40">
        <v>17795.73</v>
      </c>
      <c r="E20" s="40">
        <v>39524</v>
      </c>
      <c r="F20" s="40">
        <v>12431.51</v>
      </c>
    </row>
    <row r="21" spans="1:7" ht="13" customHeight="1" x14ac:dyDescent="0.2">
      <c r="A21" s="105">
        <v>15</v>
      </c>
      <c r="B21" s="40" t="s">
        <v>181</v>
      </c>
      <c r="C21" s="40">
        <v>25</v>
      </c>
      <c r="D21" s="40">
        <v>33</v>
      </c>
      <c r="E21" s="40">
        <v>19</v>
      </c>
      <c r="F21" s="40">
        <v>45</v>
      </c>
    </row>
    <row r="22" spans="1:7" ht="13" customHeight="1" x14ac:dyDescent="0.2">
      <c r="A22" s="105">
        <v>16</v>
      </c>
      <c r="B22" s="40" t="s">
        <v>45</v>
      </c>
      <c r="C22" s="40">
        <v>0</v>
      </c>
      <c r="D22" s="40">
        <v>0</v>
      </c>
      <c r="E22" s="40">
        <v>0</v>
      </c>
      <c r="F22" s="40">
        <v>0</v>
      </c>
    </row>
    <row r="23" spans="1:7" ht="13" customHeight="1" x14ac:dyDescent="0.2">
      <c r="A23" s="105">
        <v>17</v>
      </c>
      <c r="B23" s="40" t="s">
        <v>182</v>
      </c>
      <c r="C23" s="40">
        <v>213</v>
      </c>
      <c r="D23" s="40">
        <v>396</v>
      </c>
      <c r="E23" s="40">
        <v>17</v>
      </c>
      <c r="F23" s="40">
        <v>47</v>
      </c>
    </row>
    <row r="24" spans="1:7" s="120" customFormat="1" ht="13" customHeight="1" x14ac:dyDescent="0.2">
      <c r="A24" s="105">
        <v>18</v>
      </c>
      <c r="B24" s="40" t="s">
        <v>183</v>
      </c>
      <c r="C24" s="40">
        <v>0</v>
      </c>
      <c r="D24" s="40">
        <v>0</v>
      </c>
      <c r="E24" s="40">
        <v>0</v>
      </c>
      <c r="F24" s="40">
        <v>0</v>
      </c>
      <c r="G24" s="104"/>
    </row>
    <row r="25" spans="1:7" ht="13" customHeight="1" x14ac:dyDescent="0.2">
      <c r="A25" s="105">
        <v>19</v>
      </c>
      <c r="B25" s="40" t="s">
        <v>184</v>
      </c>
      <c r="C25" s="40">
        <v>188</v>
      </c>
      <c r="D25" s="40">
        <v>391</v>
      </c>
      <c r="E25" s="40">
        <v>62</v>
      </c>
      <c r="F25" s="40">
        <v>87</v>
      </c>
    </row>
    <row r="26" spans="1:7" ht="13" customHeight="1" x14ac:dyDescent="0.2">
      <c r="A26" s="105">
        <v>20</v>
      </c>
      <c r="B26" s="40" t="s">
        <v>65</v>
      </c>
      <c r="C26" s="40">
        <v>1275</v>
      </c>
      <c r="D26" s="40">
        <v>6027.98</v>
      </c>
      <c r="E26" s="40">
        <v>720</v>
      </c>
      <c r="F26" s="40">
        <v>2093.5700000000002</v>
      </c>
    </row>
    <row r="27" spans="1:7" ht="13" customHeight="1" x14ac:dyDescent="0.2">
      <c r="A27" s="105">
        <v>21</v>
      </c>
      <c r="B27" s="40" t="s">
        <v>66</v>
      </c>
      <c r="C27" s="40">
        <v>13584</v>
      </c>
      <c r="D27" s="40">
        <v>31581</v>
      </c>
      <c r="E27" s="40">
        <v>7108</v>
      </c>
      <c r="F27" s="40">
        <v>23685</v>
      </c>
    </row>
    <row r="28" spans="1:7" ht="13" customHeight="1" x14ac:dyDescent="0.2">
      <c r="A28" s="105">
        <v>22</v>
      </c>
      <c r="B28" s="40" t="s">
        <v>75</v>
      </c>
      <c r="C28" s="40">
        <v>5464</v>
      </c>
      <c r="D28" s="40">
        <v>6543</v>
      </c>
      <c r="E28" s="40">
        <v>3885</v>
      </c>
      <c r="F28" s="40">
        <v>5204</v>
      </c>
    </row>
    <row r="29" spans="1:7" ht="13" customHeight="1" x14ac:dyDescent="0.2">
      <c r="A29" s="105">
        <v>23</v>
      </c>
      <c r="B29" s="40" t="s">
        <v>379</v>
      </c>
      <c r="C29" s="40">
        <v>1127</v>
      </c>
      <c r="D29" s="40">
        <v>954</v>
      </c>
      <c r="E29" s="40">
        <v>1153</v>
      </c>
      <c r="F29" s="40">
        <v>985</v>
      </c>
    </row>
    <row r="30" spans="1:7" ht="13" customHeight="1" x14ac:dyDescent="0.2">
      <c r="A30" s="105">
        <v>24</v>
      </c>
      <c r="B30" s="40" t="s">
        <v>185</v>
      </c>
      <c r="C30" s="40">
        <v>191824</v>
      </c>
      <c r="D30" s="40">
        <v>42689</v>
      </c>
      <c r="E30" s="40">
        <v>118501</v>
      </c>
      <c r="F30" s="40">
        <v>29245</v>
      </c>
    </row>
    <row r="31" spans="1:7" ht="13" customHeight="1" x14ac:dyDescent="0.2">
      <c r="A31" s="105">
        <v>25</v>
      </c>
      <c r="B31" s="40" t="s">
        <v>186</v>
      </c>
      <c r="C31" s="40">
        <v>5</v>
      </c>
      <c r="D31" s="40">
        <v>9</v>
      </c>
      <c r="E31" s="40">
        <v>7</v>
      </c>
      <c r="F31" s="40">
        <v>1</v>
      </c>
    </row>
    <row r="32" spans="1:7" ht="13" customHeight="1" x14ac:dyDescent="0.2">
      <c r="A32" s="105">
        <v>26</v>
      </c>
      <c r="B32" s="40" t="s">
        <v>187</v>
      </c>
      <c r="C32" s="40">
        <v>32</v>
      </c>
      <c r="D32" s="40">
        <v>173.55</v>
      </c>
      <c r="E32" s="40">
        <v>2</v>
      </c>
      <c r="F32" s="40">
        <v>0.02</v>
      </c>
    </row>
    <row r="33" spans="1:7" ht="13" customHeight="1" x14ac:dyDescent="0.2">
      <c r="A33" s="105">
        <v>27</v>
      </c>
      <c r="B33" s="40" t="s">
        <v>188</v>
      </c>
      <c r="C33" s="40">
        <v>0</v>
      </c>
      <c r="D33" s="40">
        <v>0</v>
      </c>
      <c r="E33" s="40">
        <v>0</v>
      </c>
      <c r="F33" s="40">
        <v>0</v>
      </c>
    </row>
    <row r="34" spans="1:7" ht="13" customHeight="1" x14ac:dyDescent="0.2">
      <c r="A34" s="105">
        <v>28</v>
      </c>
      <c r="B34" s="40" t="s">
        <v>67</v>
      </c>
      <c r="C34" s="40">
        <v>38493</v>
      </c>
      <c r="D34" s="40">
        <v>13618.94</v>
      </c>
      <c r="E34" s="40">
        <v>19377</v>
      </c>
      <c r="F34" s="40">
        <v>12176.39</v>
      </c>
    </row>
    <row r="35" spans="1:7" ht="13" customHeight="1" x14ac:dyDescent="0.2">
      <c r="A35" s="105">
        <v>29</v>
      </c>
      <c r="B35" s="40" t="s">
        <v>189</v>
      </c>
      <c r="C35" s="40">
        <v>0</v>
      </c>
      <c r="D35" s="40">
        <v>0</v>
      </c>
      <c r="E35" s="40">
        <v>0</v>
      </c>
      <c r="F35" s="40">
        <v>0</v>
      </c>
    </row>
    <row r="36" spans="1:7" ht="13" customHeight="1" x14ac:dyDescent="0.2">
      <c r="A36" s="105">
        <v>30</v>
      </c>
      <c r="B36" s="40" t="s">
        <v>190</v>
      </c>
      <c r="C36" s="40">
        <v>17030</v>
      </c>
      <c r="D36" s="40">
        <v>4092</v>
      </c>
      <c r="E36" s="40">
        <v>13913</v>
      </c>
      <c r="F36" s="40">
        <v>3314</v>
      </c>
    </row>
    <row r="37" spans="1:7" ht="13" customHeight="1" x14ac:dyDescent="0.2">
      <c r="A37" s="105">
        <v>31</v>
      </c>
      <c r="B37" s="40" t="s">
        <v>191</v>
      </c>
      <c r="C37" s="40">
        <v>8</v>
      </c>
      <c r="D37" s="40">
        <v>16</v>
      </c>
      <c r="E37" s="40">
        <v>0</v>
      </c>
      <c r="F37" s="40">
        <v>0</v>
      </c>
    </row>
    <row r="38" spans="1:7" ht="13" customHeight="1" x14ac:dyDescent="0.2">
      <c r="A38" s="105">
        <v>32</v>
      </c>
      <c r="B38" s="40" t="s">
        <v>71</v>
      </c>
      <c r="C38" s="40">
        <v>0</v>
      </c>
      <c r="D38" s="40">
        <v>0</v>
      </c>
      <c r="E38" s="40">
        <v>0</v>
      </c>
      <c r="F38" s="40">
        <v>0</v>
      </c>
    </row>
    <row r="39" spans="1:7" ht="13" customHeight="1" x14ac:dyDescent="0.2">
      <c r="A39" s="105">
        <v>33</v>
      </c>
      <c r="B39" s="40" t="s">
        <v>192</v>
      </c>
      <c r="C39" s="40">
        <v>15</v>
      </c>
      <c r="D39" s="40">
        <v>30</v>
      </c>
      <c r="E39" s="40">
        <v>5</v>
      </c>
      <c r="F39" s="40">
        <v>3.87</v>
      </c>
    </row>
    <row r="40" spans="1:7" ht="13" customHeight="1" x14ac:dyDescent="0.2">
      <c r="A40" s="105">
        <v>34</v>
      </c>
      <c r="B40" s="40" t="s">
        <v>70</v>
      </c>
      <c r="C40" s="40">
        <v>25698</v>
      </c>
      <c r="D40" s="40">
        <v>6465</v>
      </c>
      <c r="E40" s="40">
        <v>16394</v>
      </c>
      <c r="F40" s="40">
        <v>3255</v>
      </c>
    </row>
    <row r="41" spans="1:7" s="120" customFormat="1" ht="13" customHeight="1" x14ac:dyDescent="0.2">
      <c r="A41" s="379"/>
      <c r="B41" s="42" t="s">
        <v>213</v>
      </c>
      <c r="C41" s="42">
        <f>SUM(C19:C40)</f>
        <v>375978</v>
      </c>
      <c r="D41" s="42">
        <f t="shared" ref="D41:F41" si="1">SUM(D19:D40)</f>
        <v>144121.76</v>
      </c>
      <c r="E41" s="42">
        <f t="shared" si="1"/>
        <v>235125</v>
      </c>
      <c r="F41" s="42">
        <f t="shared" si="1"/>
        <v>100225.91</v>
      </c>
      <c r="G41" s="104"/>
    </row>
    <row r="42" spans="1:7" s="120" customFormat="1" ht="13" customHeight="1" x14ac:dyDescent="0.2">
      <c r="A42" s="379"/>
      <c r="B42" s="42" t="s">
        <v>311</v>
      </c>
      <c r="C42" s="289">
        <f>C41+C18</f>
        <v>749345</v>
      </c>
      <c r="D42" s="289">
        <f t="shared" ref="D42:F42" si="2">D41+D18</f>
        <v>800994.74</v>
      </c>
      <c r="E42" s="289">
        <f t="shared" si="2"/>
        <v>554386</v>
      </c>
      <c r="F42" s="289">
        <f t="shared" si="2"/>
        <v>666050.94000000006</v>
      </c>
      <c r="G42" s="104"/>
    </row>
    <row r="43" spans="1:7" ht="13" customHeight="1" x14ac:dyDescent="0.2">
      <c r="A43" s="105">
        <v>35</v>
      </c>
      <c r="B43" s="40" t="s">
        <v>193</v>
      </c>
      <c r="C43" s="40">
        <v>22834</v>
      </c>
      <c r="D43" s="40">
        <v>23017</v>
      </c>
      <c r="E43" s="40">
        <v>8731</v>
      </c>
      <c r="F43" s="40">
        <v>8718</v>
      </c>
    </row>
    <row r="44" spans="1:7" ht="13" customHeight="1" x14ac:dyDescent="0.2">
      <c r="A44" s="105">
        <v>36</v>
      </c>
      <c r="B44" s="40" t="s">
        <v>382</v>
      </c>
      <c r="C44" s="40">
        <v>59444</v>
      </c>
      <c r="D44" s="40">
        <v>46259.57</v>
      </c>
      <c r="E44" s="40">
        <v>114363</v>
      </c>
      <c r="F44" s="40">
        <v>96395.77</v>
      </c>
    </row>
    <row r="45" spans="1:7" s="120" customFormat="1" ht="13" customHeight="1" x14ac:dyDescent="0.2">
      <c r="A45" s="379"/>
      <c r="B45" s="42" t="s">
        <v>216</v>
      </c>
      <c r="C45" s="42">
        <f>SUM(C43:C44)</f>
        <v>82278</v>
      </c>
      <c r="D45" s="42">
        <f t="shared" ref="D45:F45" si="3">SUM(D43:D44)</f>
        <v>69276.570000000007</v>
      </c>
      <c r="E45" s="42">
        <f t="shared" si="3"/>
        <v>123094</v>
      </c>
      <c r="F45" s="42">
        <f t="shared" si="3"/>
        <v>105113.77</v>
      </c>
      <c r="G45" s="104"/>
    </row>
    <row r="46" spans="1:7" ht="13" customHeight="1" x14ac:dyDescent="0.2">
      <c r="A46" s="105">
        <v>37</v>
      </c>
      <c r="B46" s="40" t="s">
        <v>312</v>
      </c>
      <c r="C46" s="40">
        <v>426351</v>
      </c>
      <c r="D46" s="40">
        <v>170540</v>
      </c>
      <c r="E46" s="40">
        <v>696082</v>
      </c>
      <c r="F46" s="40">
        <v>341081</v>
      </c>
    </row>
    <row r="47" spans="1:7" s="120" customFormat="1" ht="13" customHeight="1" x14ac:dyDescent="0.2">
      <c r="A47" s="379"/>
      <c r="B47" s="42" t="s">
        <v>214</v>
      </c>
      <c r="C47" s="42">
        <f>C46</f>
        <v>426351</v>
      </c>
      <c r="D47" s="42">
        <f t="shared" ref="D47:F47" si="4">D46</f>
        <v>170540</v>
      </c>
      <c r="E47" s="42">
        <f t="shared" si="4"/>
        <v>696082</v>
      </c>
      <c r="F47" s="42">
        <f t="shared" si="4"/>
        <v>341081</v>
      </c>
      <c r="G47" s="104"/>
    </row>
    <row r="48" spans="1:7" s="120" customFormat="1" ht="13" customHeight="1" x14ac:dyDescent="0.2">
      <c r="A48" s="105">
        <v>38</v>
      </c>
      <c r="B48" s="40" t="s">
        <v>304</v>
      </c>
      <c r="C48" s="40">
        <v>1376</v>
      </c>
      <c r="D48" s="40">
        <v>3811.85</v>
      </c>
      <c r="E48" s="40">
        <v>843</v>
      </c>
      <c r="F48" s="40">
        <v>2571.61</v>
      </c>
      <c r="G48" s="104"/>
    </row>
    <row r="49" spans="1:7" ht="13" customHeight="1" x14ac:dyDescent="0.2">
      <c r="A49" s="105">
        <v>39</v>
      </c>
      <c r="B49" s="40" t="s">
        <v>305</v>
      </c>
      <c r="C49" s="40">
        <v>0</v>
      </c>
      <c r="D49" s="40">
        <v>0</v>
      </c>
      <c r="E49" s="40">
        <v>0</v>
      </c>
      <c r="F49" s="40">
        <v>0</v>
      </c>
    </row>
    <row r="50" spans="1:7" ht="13" customHeight="1" x14ac:dyDescent="0.2">
      <c r="A50" s="105">
        <v>40</v>
      </c>
      <c r="B50" s="40" t="s">
        <v>383</v>
      </c>
      <c r="C50" s="40">
        <v>34540</v>
      </c>
      <c r="D50" s="40">
        <v>7379.49</v>
      </c>
      <c r="E50" s="40">
        <v>32581</v>
      </c>
      <c r="F50" s="40">
        <v>7039.19</v>
      </c>
    </row>
    <row r="51" spans="1:7" s="120" customFormat="1" ht="13" customHeight="1" x14ac:dyDescent="0.2">
      <c r="A51" s="105">
        <v>41</v>
      </c>
      <c r="B51" s="40" t="s">
        <v>306</v>
      </c>
      <c r="C51" s="40">
        <v>30981</v>
      </c>
      <c r="D51" s="40">
        <v>6520.23</v>
      </c>
      <c r="E51" s="40">
        <v>31313</v>
      </c>
      <c r="F51" s="40">
        <v>6563.63</v>
      </c>
      <c r="G51" s="104"/>
    </row>
    <row r="52" spans="1:7" ht="13" customHeight="1" x14ac:dyDescent="0.2">
      <c r="A52" s="105">
        <v>42</v>
      </c>
      <c r="B52" s="40" t="s">
        <v>307</v>
      </c>
      <c r="C52" s="40">
        <v>45996</v>
      </c>
      <c r="D52" s="40">
        <v>14652</v>
      </c>
      <c r="E52" s="40">
        <v>26689</v>
      </c>
      <c r="F52" s="40">
        <v>7759</v>
      </c>
    </row>
    <row r="53" spans="1:7" s="120" customFormat="1" ht="13" customHeight="1" x14ac:dyDescent="0.2">
      <c r="A53" s="105">
        <v>43</v>
      </c>
      <c r="B53" s="40" t="s">
        <v>308</v>
      </c>
      <c r="C53" s="40">
        <v>24529</v>
      </c>
      <c r="D53" s="40">
        <v>4120.41</v>
      </c>
      <c r="E53" s="40">
        <v>11881</v>
      </c>
      <c r="F53" s="40">
        <v>2060.2800000000002</v>
      </c>
      <c r="G53" s="104"/>
    </row>
    <row r="54" spans="1:7" ht="13" customHeight="1" x14ac:dyDescent="0.2">
      <c r="A54" s="105">
        <v>44</v>
      </c>
      <c r="B54" s="40" t="s">
        <v>300</v>
      </c>
      <c r="C54" s="40">
        <v>19992</v>
      </c>
      <c r="D54" s="40">
        <v>4298.66</v>
      </c>
      <c r="E54" s="40">
        <v>12357</v>
      </c>
      <c r="F54" s="40">
        <v>2536.33</v>
      </c>
    </row>
    <row r="55" spans="1:7" ht="13" customHeight="1" x14ac:dyDescent="0.2">
      <c r="A55" s="105">
        <v>45</v>
      </c>
      <c r="B55" s="40" t="s">
        <v>309</v>
      </c>
      <c r="C55" s="40">
        <v>24072</v>
      </c>
      <c r="D55" s="40">
        <v>6255</v>
      </c>
      <c r="E55" s="40">
        <v>26878</v>
      </c>
      <c r="F55" s="40">
        <v>6939</v>
      </c>
    </row>
    <row r="56" spans="1:7" s="120" customFormat="1" ht="13" customHeight="1" x14ac:dyDescent="0.2">
      <c r="A56" s="379"/>
      <c r="B56" s="42" t="s">
        <v>310</v>
      </c>
      <c r="C56" s="42">
        <f>SUM(C48:C55)</f>
        <v>181486</v>
      </c>
      <c r="D56" s="42">
        <f t="shared" ref="D56:F56" si="5">SUM(D48:D55)</f>
        <v>47037.64</v>
      </c>
      <c r="E56" s="42">
        <f t="shared" si="5"/>
        <v>142542</v>
      </c>
      <c r="F56" s="42">
        <f t="shared" si="5"/>
        <v>35469.040000000001</v>
      </c>
      <c r="G56" s="104"/>
    </row>
    <row r="57" spans="1:7" s="120" customFormat="1" ht="13" customHeight="1" x14ac:dyDescent="0.2">
      <c r="A57" s="378"/>
      <c r="B57" s="289" t="s">
        <v>0</v>
      </c>
      <c r="C57" s="42">
        <f>C56+C47+C45+C42</f>
        <v>1439460</v>
      </c>
      <c r="D57" s="42">
        <f t="shared" ref="D57:F57" si="6">D56+D47+D45+D42</f>
        <v>1087848.95</v>
      </c>
      <c r="E57" s="42">
        <f t="shared" si="6"/>
        <v>1516104</v>
      </c>
      <c r="F57" s="42">
        <f t="shared" si="6"/>
        <v>1147714.75</v>
      </c>
      <c r="G57" s="104"/>
    </row>
    <row r="58" spans="1:7" ht="14" x14ac:dyDescent="0.2">
      <c r="D58" s="104" t="s">
        <v>1092</v>
      </c>
    </row>
    <row r="60" spans="1:7" ht="14" x14ac:dyDescent="0.2">
      <c r="C60" s="354"/>
      <c r="D60" s="354"/>
      <c r="E60" s="354"/>
      <c r="F60" s="354"/>
    </row>
    <row r="62" spans="1:7" x14ac:dyDescent="0.2">
      <c r="C62" s="123"/>
      <c r="D62" s="123"/>
      <c r="E62" s="123"/>
      <c r="F62" s="123"/>
    </row>
  </sheetData>
  <mergeCells count="6">
    <mergeCell ref="A1:F1"/>
    <mergeCell ref="B3:D3"/>
    <mergeCell ref="A4:A5"/>
    <mergeCell ref="B4:B5"/>
    <mergeCell ref="C4:D4"/>
    <mergeCell ref="E4:F4"/>
  </mergeCells>
  <pageMargins left="1.45" right="0.7" top="0.25" bottom="0.2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J59"/>
  <sheetViews>
    <sheetView zoomScaleNormal="100" workbookViewId="0">
      <pane xSplit="2" ySplit="5" topLeftCell="C50" activePane="bottomRight" state="frozen"/>
      <selection pane="topRight" activeCell="C1" sqref="C1"/>
      <selection pane="bottomLeft" activeCell="A6" sqref="A6"/>
      <selection pane="bottomRight" activeCell="D58" sqref="D58"/>
    </sheetView>
  </sheetViews>
  <sheetFormatPr baseColWidth="10" defaultColWidth="9.19921875" defaultRowHeight="13" x14ac:dyDescent="0.2"/>
  <cols>
    <col min="1" max="1" width="5" style="2" customWidth="1"/>
    <col min="2" max="2" width="24.3984375" style="2" bestFit="1" customWidth="1"/>
    <col min="3" max="3" width="15" style="3" customWidth="1"/>
    <col min="4" max="4" width="12.3984375" style="3" customWidth="1"/>
    <col min="5" max="5" width="15.796875" style="3" customWidth="1"/>
    <col min="6" max="6" width="14" style="3" customWidth="1"/>
    <col min="7" max="10" width="9.19921875" style="356"/>
    <col min="11" max="16384" width="9.19921875" style="2"/>
  </cols>
  <sheetData>
    <row r="1" spans="1:6" ht="18" x14ac:dyDescent="0.2">
      <c r="A1" s="458" t="s">
        <v>1062</v>
      </c>
      <c r="B1" s="458"/>
      <c r="C1" s="458"/>
      <c r="D1" s="458"/>
      <c r="E1" s="458"/>
      <c r="F1" s="458"/>
    </row>
    <row r="2" spans="1:6" ht="14" x14ac:dyDescent="0.2">
      <c r="A2" s="30"/>
      <c r="B2" s="30"/>
      <c r="C2" s="58"/>
      <c r="D2" s="58"/>
      <c r="E2" s="58"/>
      <c r="F2" s="58"/>
    </row>
    <row r="3" spans="1:6" ht="17" x14ac:dyDescent="0.2">
      <c r="A3" s="24"/>
      <c r="B3" s="478" t="s">
        <v>11</v>
      </c>
      <c r="C3" s="478"/>
      <c r="D3" s="478"/>
      <c r="F3" s="60" t="s">
        <v>169</v>
      </c>
    </row>
    <row r="4" spans="1:6" ht="15" customHeight="1" x14ac:dyDescent="0.2">
      <c r="A4" s="455" t="s">
        <v>194</v>
      </c>
      <c r="B4" s="455" t="s">
        <v>2</v>
      </c>
      <c r="C4" s="455" t="s">
        <v>166</v>
      </c>
      <c r="D4" s="455"/>
      <c r="E4" s="455" t="s">
        <v>167</v>
      </c>
      <c r="F4" s="455"/>
    </row>
    <row r="5" spans="1:6" ht="15" customHeight="1" x14ac:dyDescent="0.2">
      <c r="A5" s="455"/>
      <c r="B5" s="455"/>
      <c r="C5" s="299" t="s">
        <v>27</v>
      </c>
      <c r="D5" s="299" t="s">
        <v>15</v>
      </c>
      <c r="E5" s="299" t="s">
        <v>27</v>
      </c>
      <c r="F5" s="299" t="s">
        <v>15</v>
      </c>
    </row>
    <row r="6" spans="1:6" ht="13" customHeight="1" x14ac:dyDescent="0.2">
      <c r="A6" s="105">
        <v>1</v>
      </c>
      <c r="B6" s="40" t="s">
        <v>51</v>
      </c>
      <c r="C6" s="311">
        <v>871</v>
      </c>
      <c r="D6" s="311">
        <v>3912</v>
      </c>
      <c r="E6" s="311">
        <v>936</v>
      </c>
      <c r="F6" s="311">
        <v>1624</v>
      </c>
    </row>
    <row r="7" spans="1:6" ht="13" customHeight="1" x14ac:dyDescent="0.2">
      <c r="A7" s="105">
        <v>2</v>
      </c>
      <c r="B7" s="40" t="s">
        <v>52</v>
      </c>
      <c r="C7" s="311">
        <v>5400</v>
      </c>
      <c r="D7" s="311">
        <v>9869</v>
      </c>
      <c r="E7" s="311">
        <v>5326</v>
      </c>
      <c r="F7" s="311">
        <v>7036</v>
      </c>
    </row>
    <row r="8" spans="1:6" ht="13" customHeight="1" x14ac:dyDescent="0.2">
      <c r="A8" s="105">
        <v>3</v>
      </c>
      <c r="B8" s="40" t="s">
        <v>53</v>
      </c>
      <c r="C8" s="311">
        <v>3349</v>
      </c>
      <c r="D8" s="311">
        <v>4173.6899999999996</v>
      </c>
      <c r="E8" s="311">
        <v>6164</v>
      </c>
      <c r="F8" s="311">
        <v>8528.09</v>
      </c>
    </row>
    <row r="9" spans="1:6" ht="13" customHeight="1" x14ac:dyDescent="0.2">
      <c r="A9" s="105">
        <v>4</v>
      </c>
      <c r="B9" s="40" t="s">
        <v>54</v>
      </c>
      <c r="C9" s="311">
        <v>1042</v>
      </c>
      <c r="D9" s="311">
        <v>1852.01</v>
      </c>
      <c r="E9" s="311">
        <v>819</v>
      </c>
      <c r="F9" s="311">
        <v>1553.17</v>
      </c>
    </row>
    <row r="10" spans="1:6" ht="13" customHeight="1" x14ac:dyDescent="0.2">
      <c r="A10" s="105">
        <v>5</v>
      </c>
      <c r="B10" s="40" t="s">
        <v>55</v>
      </c>
      <c r="C10" s="311">
        <v>10435</v>
      </c>
      <c r="D10" s="311">
        <v>7513</v>
      </c>
      <c r="E10" s="311">
        <v>7218</v>
      </c>
      <c r="F10" s="311">
        <v>5943</v>
      </c>
    </row>
    <row r="11" spans="1:6" ht="13" customHeight="1" x14ac:dyDescent="0.2">
      <c r="A11" s="105">
        <v>6</v>
      </c>
      <c r="B11" s="40" t="s">
        <v>56</v>
      </c>
      <c r="C11" s="311">
        <v>25</v>
      </c>
      <c r="D11" s="311">
        <v>35</v>
      </c>
      <c r="E11" s="311">
        <v>21</v>
      </c>
      <c r="F11" s="311">
        <v>25</v>
      </c>
    </row>
    <row r="12" spans="1:6" ht="13" customHeight="1" x14ac:dyDescent="0.2">
      <c r="A12" s="105">
        <v>7</v>
      </c>
      <c r="B12" s="40" t="s">
        <v>57</v>
      </c>
      <c r="C12" s="311">
        <v>39</v>
      </c>
      <c r="D12" s="311">
        <v>97</v>
      </c>
      <c r="E12" s="311">
        <v>31</v>
      </c>
      <c r="F12" s="311">
        <v>68</v>
      </c>
    </row>
    <row r="13" spans="1:6" ht="13" customHeight="1" x14ac:dyDescent="0.2">
      <c r="A13" s="105">
        <v>8</v>
      </c>
      <c r="B13" s="40" t="s">
        <v>178</v>
      </c>
      <c r="C13" s="311">
        <v>907</v>
      </c>
      <c r="D13" s="311">
        <v>1233</v>
      </c>
      <c r="E13" s="311">
        <v>336</v>
      </c>
      <c r="F13" s="311">
        <v>561</v>
      </c>
    </row>
    <row r="14" spans="1:6" ht="13" customHeight="1" x14ac:dyDescent="0.2">
      <c r="A14" s="105">
        <v>9</v>
      </c>
      <c r="B14" s="40" t="s">
        <v>58</v>
      </c>
      <c r="C14" s="311">
        <v>1159</v>
      </c>
      <c r="D14" s="311">
        <v>1759.53</v>
      </c>
      <c r="E14" s="311">
        <v>642</v>
      </c>
      <c r="F14" s="311">
        <v>703.7</v>
      </c>
    </row>
    <row r="15" spans="1:6" ht="13" customHeight="1" x14ac:dyDescent="0.2">
      <c r="A15" s="105">
        <v>10</v>
      </c>
      <c r="B15" s="40" t="s">
        <v>64</v>
      </c>
      <c r="C15" s="311">
        <v>10745</v>
      </c>
      <c r="D15" s="311">
        <v>17733</v>
      </c>
      <c r="E15" s="311">
        <v>6919</v>
      </c>
      <c r="F15" s="311">
        <v>9250</v>
      </c>
    </row>
    <row r="16" spans="1:6" ht="13" customHeight="1" x14ac:dyDescent="0.2">
      <c r="A16" s="105">
        <v>11</v>
      </c>
      <c r="B16" s="40" t="s">
        <v>179</v>
      </c>
      <c r="C16" s="311">
        <v>209</v>
      </c>
      <c r="D16" s="311">
        <v>370</v>
      </c>
      <c r="E16" s="311">
        <v>77</v>
      </c>
      <c r="F16" s="311">
        <v>165</v>
      </c>
    </row>
    <row r="17" spans="1:10" ht="13" customHeight="1" x14ac:dyDescent="0.2">
      <c r="A17" s="105">
        <v>12</v>
      </c>
      <c r="B17" s="40" t="s">
        <v>60</v>
      </c>
      <c r="C17" s="311">
        <v>2525</v>
      </c>
      <c r="D17" s="311">
        <v>4420</v>
      </c>
      <c r="E17" s="311">
        <v>1922</v>
      </c>
      <c r="F17" s="311">
        <v>3264</v>
      </c>
    </row>
    <row r="18" spans="1:10" s="69" customFormat="1" ht="13" customHeight="1" x14ac:dyDescent="0.2">
      <c r="A18" s="293"/>
      <c r="B18" s="42" t="s">
        <v>215</v>
      </c>
      <c r="C18" s="351">
        <f>SUM(C6:C17)</f>
        <v>36706</v>
      </c>
      <c r="D18" s="351">
        <f t="shared" ref="D18:F18" si="0">SUM(D6:D17)</f>
        <v>52967.229999999996</v>
      </c>
      <c r="E18" s="351">
        <f t="shared" si="0"/>
        <v>30411</v>
      </c>
      <c r="F18" s="351">
        <f t="shared" si="0"/>
        <v>38720.960000000006</v>
      </c>
      <c r="G18" s="356"/>
      <c r="H18" s="356"/>
      <c r="I18" s="356"/>
      <c r="J18" s="356"/>
    </row>
    <row r="19" spans="1:10" ht="13" customHeight="1" x14ac:dyDescent="0.2">
      <c r="A19" s="105">
        <v>13</v>
      </c>
      <c r="B19" s="40" t="s">
        <v>41</v>
      </c>
      <c r="C19" s="311">
        <v>1625</v>
      </c>
      <c r="D19" s="311">
        <v>1364.86</v>
      </c>
      <c r="E19" s="311">
        <v>1482</v>
      </c>
      <c r="F19" s="311">
        <v>1435.17</v>
      </c>
    </row>
    <row r="20" spans="1:10" ht="13" customHeight="1" x14ac:dyDescent="0.2">
      <c r="A20" s="105">
        <v>14</v>
      </c>
      <c r="B20" s="40" t="s">
        <v>180</v>
      </c>
      <c r="C20" s="311">
        <v>3994</v>
      </c>
      <c r="D20" s="311">
        <v>2362</v>
      </c>
      <c r="E20" s="311">
        <v>3551</v>
      </c>
      <c r="F20" s="311">
        <v>1996.76</v>
      </c>
    </row>
    <row r="21" spans="1:10" ht="13" customHeight="1" x14ac:dyDescent="0.2">
      <c r="A21" s="105">
        <v>15</v>
      </c>
      <c r="B21" s="40" t="s">
        <v>181</v>
      </c>
      <c r="C21" s="311">
        <v>5</v>
      </c>
      <c r="D21" s="311">
        <v>4.21</v>
      </c>
      <c r="E21" s="311">
        <v>7</v>
      </c>
      <c r="F21" s="311">
        <v>3.85</v>
      </c>
    </row>
    <row r="22" spans="1:10" ht="13" customHeight="1" x14ac:dyDescent="0.2">
      <c r="A22" s="105">
        <v>16</v>
      </c>
      <c r="B22" s="40" t="s">
        <v>45</v>
      </c>
      <c r="C22" s="311">
        <v>0</v>
      </c>
      <c r="D22" s="311">
        <v>0</v>
      </c>
      <c r="E22" s="311">
        <v>0</v>
      </c>
      <c r="F22" s="311">
        <v>0</v>
      </c>
    </row>
    <row r="23" spans="1:10" ht="13" customHeight="1" x14ac:dyDescent="0.2">
      <c r="A23" s="105">
        <v>17</v>
      </c>
      <c r="B23" s="40" t="s">
        <v>182</v>
      </c>
      <c r="C23" s="311">
        <v>128</v>
      </c>
      <c r="D23" s="311">
        <v>223</v>
      </c>
      <c r="E23" s="311">
        <v>6</v>
      </c>
      <c r="F23" s="311">
        <v>17</v>
      </c>
    </row>
    <row r="24" spans="1:10" ht="13" customHeight="1" x14ac:dyDescent="0.2">
      <c r="A24" s="105">
        <v>18</v>
      </c>
      <c r="B24" s="40" t="s">
        <v>183</v>
      </c>
      <c r="C24" s="311">
        <v>0</v>
      </c>
      <c r="D24" s="311">
        <v>0</v>
      </c>
      <c r="E24" s="311">
        <v>0</v>
      </c>
      <c r="F24" s="311">
        <v>0</v>
      </c>
    </row>
    <row r="25" spans="1:10" ht="13" customHeight="1" x14ac:dyDescent="0.2">
      <c r="A25" s="105">
        <v>19</v>
      </c>
      <c r="B25" s="40" t="s">
        <v>184</v>
      </c>
      <c r="C25" s="311">
        <v>67</v>
      </c>
      <c r="D25" s="311">
        <v>92</v>
      </c>
      <c r="E25" s="311">
        <v>21</v>
      </c>
      <c r="F25" s="311">
        <v>27</v>
      </c>
    </row>
    <row r="26" spans="1:10" ht="13" customHeight="1" x14ac:dyDescent="0.2">
      <c r="A26" s="105">
        <v>20</v>
      </c>
      <c r="B26" s="40" t="s">
        <v>65</v>
      </c>
      <c r="C26" s="311">
        <v>126</v>
      </c>
      <c r="D26" s="311">
        <v>364.95</v>
      </c>
      <c r="E26" s="311">
        <v>72</v>
      </c>
      <c r="F26" s="311">
        <v>288.72000000000003</v>
      </c>
    </row>
    <row r="27" spans="1:10" ht="13" customHeight="1" x14ac:dyDescent="0.2">
      <c r="A27" s="105">
        <v>21</v>
      </c>
      <c r="B27" s="40" t="s">
        <v>66</v>
      </c>
      <c r="C27" s="311">
        <v>2856</v>
      </c>
      <c r="D27" s="311">
        <v>3649</v>
      </c>
      <c r="E27" s="311">
        <v>1134</v>
      </c>
      <c r="F27" s="311">
        <v>2250</v>
      </c>
    </row>
    <row r="28" spans="1:10" ht="13" customHeight="1" x14ac:dyDescent="0.2">
      <c r="A28" s="105">
        <v>22</v>
      </c>
      <c r="B28" s="40" t="s">
        <v>75</v>
      </c>
      <c r="C28" s="311">
        <v>315</v>
      </c>
      <c r="D28" s="311">
        <v>468</v>
      </c>
      <c r="E28" s="311">
        <v>218</v>
      </c>
      <c r="F28" s="311">
        <v>242</v>
      </c>
    </row>
    <row r="29" spans="1:10" ht="13" customHeight="1" x14ac:dyDescent="0.2">
      <c r="A29" s="105">
        <v>23</v>
      </c>
      <c r="B29" s="40" t="s">
        <v>379</v>
      </c>
      <c r="C29" s="311">
        <v>29</v>
      </c>
      <c r="D29" s="311">
        <v>35</v>
      </c>
      <c r="E29" s="311">
        <v>23</v>
      </c>
      <c r="F29" s="311">
        <v>28</v>
      </c>
    </row>
    <row r="30" spans="1:10" ht="13" customHeight="1" x14ac:dyDescent="0.2">
      <c r="A30" s="105">
        <v>24</v>
      </c>
      <c r="B30" s="40" t="s">
        <v>185</v>
      </c>
      <c r="C30" s="311">
        <v>30633</v>
      </c>
      <c r="D30" s="311">
        <v>9247</v>
      </c>
      <c r="E30" s="311">
        <v>20221</v>
      </c>
      <c r="F30" s="311">
        <v>5941</v>
      </c>
    </row>
    <row r="31" spans="1:10" ht="13" customHeight="1" x14ac:dyDescent="0.2">
      <c r="A31" s="105">
        <v>25</v>
      </c>
      <c r="B31" s="40" t="s">
        <v>186</v>
      </c>
      <c r="C31" s="311">
        <v>0</v>
      </c>
      <c r="D31" s="311">
        <v>0</v>
      </c>
      <c r="E31" s="311">
        <v>0</v>
      </c>
      <c r="F31" s="311">
        <v>0</v>
      </c>
    </row>
    <row r="32" spans="1:10" ht="13" customHeight="1" x14ac:dyDescent="0.2">
      <c r="A32" s="105">
        <v>26</v>
      </c>
      <c r="B32" s="40" t="s">
        <v>187</v>
      </c>
      <c r="C32" s="311">
        <v>3</v>
      </c>
      <c r="D32" s="311">
        <v>1.87</v>
      </c>
      <c r="E32" s="311">
        <v>0</v>
      </c>
      <c r="F32" s="311">
        <v>0</v>
      </c>
    </row>
    <row r="33" spans="1:10" ht="13" customHeight="1" x14ac:dyDescent="0.2">
      <c r="A33" s="105">
        <v>27</v>
      </c>
      <c r="B33" s="40" t="s">
        <v>188</v>
      </c>
      <c r="C33" s="311">
        <v>0</v>
      </c>
      <c r="D33" s="311">
        <v>0</v>
      </c>
      <c r="E33" s="311">
        <v>0</v>
      </c>
      <c r="F33" s="311">
        <v>0</v>
      </c>
    </row>
    <row r="34" spans="1:10" ht="13" customHeight="1" x14ac:dyDescent="0.2">
      <c r="A34" s="105">
        <v>28</v>
      </c>
      <c r="B34" s="40" t="s">
        <v>67</v>
      </c>
      <c r="C34" s="311">
        <v>5275</v>
      </c>
      <c r="D34" s="311">
        <v>1984.61</v>
      </c>
      <c r="E34" s="311">
        <v>2546</v>
      </c>
      <c r="F34" s="311">
        <v>933.16</v>
      </c>
    </row>
    <row r="35" spans="1:10" ht="13" customHeight="1" x14ac:dyDescent="0.2">
      <c r="A35" s="105">
        <v>29</v>
      </c>
      <c r="B35" s="40" t="s">
        <v>189</v>
      </c>
      <c r="C35" s="311">
        <v>7</v>
      </c>
      <c r="D35" s="311">
        <v>6</v>
      </c>
      <c r="E35" s="311">
        <v>0</v>
      </c>
      <c r="F35" s="311">
        <v>0</v>
      </c>
    </row>
    <row r="36" spans="1:10" ht="13" customHeight="1" x14ac:dyDescent="0.2">
      <c r="A36" s="105">
        <v>30</v>
      </c>
      <c r="B36" s="40" t="s">
        <v>190</v>
      </c>
      <c r="C36" s="311">
        <v>1205</v>
      </c>
      <c r="D36" s="311">
        <v>367</v>
      </c>
      <c r="E36" s="311">
        <v>582</v>
      </c>
      <c r="F36" s="311">
        <v>192</v>
      </c>
    </row>
    <row r="37" spans="1:10" ht="13" customHeight="1" x14ac:dyDescent="0.2">
      <c r="A37" s="105">
        <v>31</v>
      </c>
      <c r="B37" s="40" t="s">
        <v>191</v>
      </c>
      <c r="C37" s="311">
        <v>0</v>
      </c>
      <c r="D37" s="311">
        <v>0</v>
      </c>
      <c r="E37" s="311">
        <v>0</v>
      </c>
      <c r="F37" s="311">
        <v>0</v>
      </c>
    </row>
    <row r="38" spans="1:10" ht="13" customHeight="1" x14ac:dyDescent="0.2">
      <c r="A38" s="105">
        <v>32</v>
      </c>
      <c r="B38" s="40" t="s">
        <v>71</v>
      </c>
      <c r="C38" s="311">
        <v>0</v>
      </c>
      <c r="D38" s="311">
        <v>0</v>
      </c>
      <c r="E38" s="311">
        <v>0</v>
      </c>
      <c r="F38" s="311">
        <v>0</v>
      </c>
    </row>
    <row r="39" spans="1:10" ht="13" customHeight="1" x14ac:dyDescent="0.2">
      <c r="A39" s="105">
        <v>33</v>
      </c>
      <c r="B39" s="40" t="s">
        <v>192</v>
      </c>
      <c r="C39" s="311">
        <v>4</v>
      </c>
      <c r="D39" s="311">
        <v>3.91</v>
      </c>
      <c r="E39" s="311">
        <v>0</v>
      </c>
      <c r="F39" s="311">
        <v>0</v>
      </c>
    </row>
    <row r="40" spans="1:10" ht="13" customHeight="1" x14ac:dyDescent="0.2">
      <c r="A40" s="105">
        <v>34</v>
      </c>
      <c r="B40" s="40" t="s">
        <v>70</v>
      </c>
      <c r="C40" s="311">
        <v>492</v>
      </c>
      <c r="D40" s="311">
        <v>302</v>
      </c>
      <c r="E40" s="311">
        <v>220</v>
      </c>
      <c r="F40" s="311">
        <v>98</v>
      </c>
    </row>
    <row r="41" spans="1:10" s="69" customFormat="1" ht="13" customHeight="1" x14ac:dyDescent="0.2">
      <c r="A41" s="293"/>
      <c r="B41" s="42" t="s">
        <v>213</v>
      </c>
      <c r="C41" s="351">
        <f>SUM(C19:C40)</f>
        <v>46764</v>
      </c>
      <c r="D41" s="351">
        <f t="shared" ref="D41:F41" si="1">SUM(D19:D40)</f>
        <v>20475.41</v>
      </c>
      <c r="E41" s="351">
        <f t="shared" si="1"/>
        <v>30083</v>
      </c>
      <c r="F41" s="351">
        <f t="shared" si="1"/>
        <v>13452.66</v>
      </c>
      <c r="G41" s="356"/>
      <c r="H41" s="356"/>
      <c r="I41" s="356"/>
      <c r="J41" s="356"/>
    </row>
    <row r="42" spans="1:10" s="69" customFormat="1" ht="13" customHeight="1" x14ac:dyDescent="0.2">
      <c r="A42" s="293"/>
      <c r="B42" s="42" t="s">
        <v>311</v>
      </c>
      <c r="C42" s="289">
        <f>C41+C18</f>
        <v>83470</v>
      </c>
      <c r="D42" s="289">
        <f t="shared" ref="D42:F42" si="2">D41+D18</f>
        <v>73442.64</v>
      </c>
      <c r="E42" s="289">
        <f t="shared" si="2"/>
        <v>60494</v>
      </c>
      <c r="F42" s="289">
        <f t="shared" si="2"/>
        <v>52173.62000000001</v>
      </c>
      <c r="G42" s="356"/>
      <c r="H42" s="356"/>
      <c r="I42" s="356"/>
      <c r="J42" s="356"/>
    </row>
    <row r="43" spans="1:10" ht="13" customHeight="1" x14ac:dyDescent="0.2">
      <c r="A43" s="105">
        <v>35</v>
      </c>
      <c r="B43" s="40" t="s">
        <v>193</v>
      </c>
      <c r="C43" s="311">
        <v>8129</v>
      </c>
      <c r="D43" s="311">
        <v>2908</v>
      </c>
      <c r="E43" s="311">
        <v>457</v>
      </c>
      <c r="F43" s="311">
        <v>1086</v>
      </c>
    </row>
    <row r="44" spans="1:10" ht="13" customHeight="1" x14ac:dyDescent="0.2">
      <c r="A44" s="105">
        <v>36</v>
      </c>
      <c r="B44" s="40" t="s">
        <v>382</v>
      </c>
      <c r="C44" s="311">
        <v>837</v>
      </c>
      <c r="D44" s="311">
        <v>1033.81</v>
      </c>
      <c r="E44" s="311">
        <v>2070</v>
      </c>
      <c r="F44" s="311">
        <v>2433.52</v>
      </c>
    </row>
    <row r="45" spans="1:10" s="69" customFormat="1" ht="13" customHeight="1" x14ac:dyDescent="0.2">
      <c r="A45" s="293"/>
      <c r="B45" s="42" t="s">
        <v>216</v>
      </c>
      <c r="C45" s="351">
        <f>SUM(C43:C44)</f>
        <v>8966</v>
      </c>
      <c r="D45" s="351">
        <f t="shared" ref="D45:F45" si="3">SUM(D43:D44)</f>
        <v>3941.81</v>
      </c>
      <c r="E45" s="351">
        <f t="shared" si="3"/>
        <v>2527</v>
      </c>
      <c r="F45" s="351">
        <f t="shared" si="3"/>
        <v>3519.52</v>
      </c>
      <c r="G45" s="356"/>
      <c r="H45" s="356"/>
      <c r="I45" s="356"/>
      <c r="J45" s="356"/>
    </row>
    <row r="46" spans="1:10" ht="13" customHeight="1" x14ac:dyDescent="0.2">
      <c r="A46" s="105">
        <v>37</v>
      </c>
      <c r="B46" s="40" t="s">
        <v>312</v>
      </c>
      <c r="C46" s="311">
        <v>191226</v>
      </c>
      <c r="D46" s="311">
        <v>63104</v>
      </c>
      <c r="E46" s="311">
        <v>307826</v>
      </c>
      <c r="F46" s="311">
        <v>126209</v>
      </c>
    </row>
    <row r="47" spans="1:10" s="69" customFormat="1" ht="13" customHeight="1" x14ac:dyDescent="0.2">
      <c r="A47" s="293"/>
      <c r="B47" s="42" t="s">
        <v>214</v>
      </c>
      <c r="C47" s="351">
        <f>C46</f>
        <v>191226</v>
      </c>
      <c r="D47" s="351">
        <f t="shared" ref="D47:F47" si="4">D46</f>
        <v>63104</v>
      </c>
      <c r="E47" s="351">
        <f t="shared" si="4"/>
        <v>307826</v>
      </c>
      <c r="F47" s="351">
        <f t="shared" si="4"/>
        <v>126209</v>
      </c>
      <c r="G47" s="356"/>
      <c r="H47" s="356"/>
      <c r="I47" s="356"/>
      <c r="J47" s="356"/>
    </row>
    <row r="48" spans="1:10" s="69" customFormat="1" ht="13" customHeight="1" x14ac:dyDescent="0.2">
      <c r="A48" s="105">
        <v>38</v>
      </c>
      <c r="B48" s="40" t="s">
        <v>304</v>
      </c>
      <c r="C48" s="311">
        <v>75</v>
      </c>
      <c r="D48" s="311">
        <v>122.39</v>
      </c>
      <c r="E48" s="311">
        <v>42</v>
      </c>
      <c r="F48" s="311">
        <v>101.14</v>
      </c>
      <c r="G48" s="356"/>
      <c r="H48" s="356"/>
      <c r="I48" s="356"/>
      <c r="J48" s="356"/>
    </row>
    <row r="49" spans="1:10" ht="13" customHeight="1" x14ac:dyDescent="0.2">
      <c r="A49" s="105">
        <v>39</v>
      </c>
      <c r="B49" s="40" t="s">
        <v>305</v>
      </c>
      <c r="C49" s="311">
        <v>0</v>
      </c>
      <c r="D49" s="311">
        <v>0</v>
      </c>
      <c r="E49" s="311">
        <v>0</v>
      </c>
      <c r="F49" s="311">
        <v>0</v>
      </c>
    </row>
    <row r="50" spans="1:10" ht="13" customHeight="1" x14ac:dyDescent="0.2">
      <c r="A50" s="105">
        <v>40</v>
      </c>
      <c r="B50" s="40" t="s">
        <v>383</v>
      </c>
      <c r="C50" s="311">
        <v>1750</v>
      </c>
      <c r="D50" s="311">
        <v>625.99</v>
      </c>
      <c r="E50" s="311">
        <v>1744</v>
      </c>
      <c r="F50" s="311">
        <v>616.9</v>
      </c>
    </row>
    <row r="51" spans="1:10" s="69" customFormat="1" ht="13" customHeight="1" x14ac:dyDescent="0.2">
      <c r="A51" s="105">
        <v>41</v>
      </c>
      <c r="B51" s="40" t="s">
        <v>306</v>
      </c>
      <c r="C51" s="311">
        <v>4120</v>
      </c>
      <c r="D51" s="311">
        <v>1226.74</v>
      </c>
      <c r="E51" s="311">
        <v>3851</v>
      </c>
      <c r="F51" s="311">
        <v>1137.23</v>
      </c>
      <c r="G51" s="356"/>
      <c r="H51" s="356"/>
      <c r="I51" s="356"/>
      <c r="J51" s="356"/>
    </row>
    <row r="52" spans="1:10" ht="13" customHeight="1" x14ac:dyDescent="0.2">
      <c r="A52" s="105">
        <v>42</v>
      </c>
      <c r="B52" s="40" t="s">
        <v>307</v>
      </c>
      <c r="C52" s="311">
        <v>3564</v>
      </c>
      <c r="D52" s="311">
        <v>1688</v>
      </c>
      <c r="E52" s="311">
        <v>1914</v>
      </c>
      <c r="F52" s="311">
        <v>792</v>
      </c>
    </row>
    <row r="53" spans="1:10" s="69" customFormat="1" ht="13" customHeight="1" x14ac:dyDescent="0.2">
      <c r="A53" s="105">
        <v>43</v>
      </c>
      <c r="B53" s="40" t="s">
        <v>308</v>
      </c>
      <c r="C53" s="311">
        <v>1829</v>
      </c>
      <c r="D53" s="311">
        <v>283.64</v>
      </c>
      <c r="E53" s="311">
        <v>969</v>
      </c>
      <c r="F53" s="311">
        <v>167.54</v>
      </c>
      <c r="G53" s="356"/>
      <c r="H53" s="356"/>
      <c r="I53" s="356"/>
      <c r="J53" s="356"/>
    </row>
    <row r="54" spans="1:10" ht="13" customHeight="1" x14ac:dyDescent="0.2">
      <c r="A54" s="105">
        <v>44</v>
      </c>
      <c r="B54" s="40" t="s">
        <v>300</v>
      </c>
      <c r="C54" s="311">
        <v>784</v>
      </c>
      <c r="D54" s="311">
        <v>336.68</v>
      </c>
      <c r="E54" s="311">
        <v>541</v>
      </c>
      <c r="F54" s="311">
        <v>226.69</v>
      </c>
    </row>
    <row r="55" spans="1:10" ht="13" customHeight="1" x14ac:dyDescent="0.2">
      <c r="A55" s="105">
        <v>45</v>
      </c>
      <c r="B55" s="40" t="s">
        <v>309</v>
      </c>
      <c r="C55" s="311">
        <v>658</v>
      </c>
      <c r="D55" s="311">
        <v>317</v>
      </c>
      <c r="E55" s="311">
        <v>743</v>
      </c>
      <c r="F55" s="311">
        <v>346</v>
      </c>
    </row>
    <row r="56" spans="1:10" s="69" customFormat="1" ht="13" customHeight="1" x14ac:dyDescent="0.2">
      <c r="A56" s="293"/>
      <c r="B56" s="42" t="s">
        <v>310</v>
      </c>
      <c r="C56" s="351">
        <f>SUM(C48:C55)</f>
        <v>12780</v>
      </c>
      <c r="D56" s="351">
        <f t="shared" ref="D56:F56" si="5">SUM(D48:D55)</f>
        <v>4600.4399999999996</v>
      </c>
      <c r="E56" s="351">
        <f t="shared" si="5"/>
        <v>9804</v>
      </c>
      <c r="F56" s="351">
        <f t="shared" si="5"/>
        <v>3387.5</v>
      </c>
      <c r="G56" s="356"/>
      <c r="H56" s="356"/>
      <c r="I56" s="356"/>
      <c r="J56" s="356"/>
    </row>
    <row r="57" spans="1:10" ht="13" customHeight="1" x14ac:dyDescent="0.2">
      <c r="A57" s="292"/>
      <c r="B57" s="289" t="s">
        <v>0</v>
      </c>
      <c r="C57" s="351">
        <f>C56+C47+C45+C42</f>
        <v>296442</v>
      </c>
      <c r="D57" s="351">
        <f t="shared" ref="D57:F57" si="6">D56+D47+D45+D42</f>
        <v>145088.89000000001</v>
      </c>
      <c r="E57" s="351">
        <f t="shared" si="6"/>
        <v>380651</v>
      </c>
      <c r="F57" s="351">
        <f t="shared" si="6"/>
        <v>185289.64</v>
      </c>
    </row>
    <row r="58" spans="1:10" ht="14" x14ac:dyDescent="0.2">
      <c r="D58" s="74" t="s">
        <v>1093</v>
      </c>
    </row>
    <row r="59" spans="1:10" ht="14" x14ac:dyDescent="0.2">
      <c r="C59" s="109"/>
      <c r="D59" s="109"/>
      <c r="E59" s="109"/>
      <c r="F59" s="109"/>
    </row>
  </sheetData>
  <mergeCells count="6">
    <mergeCell ref="A1:F1"/>
    <mergeCell ref="B3:D3"/>
    <mergeCell ref="A4:A5"/>
    <mergeCell ref="B4:B5"/>
    <mergeCell ref="C4:D4"/>
    <mergeCell ref="E4:F4"/>
  </mergeCells>
  <conditionalFormatting sqref="G1:H1048576 H6:J58">
    <cfRule type="cellIs" dxfId="3" priority="2" operator="greaterThan">
      <formula>100</formula>
    </cfRule>
    <cfRule type="cellIs" dxfId="2" priority="3" operator="greaterThan">
      <formula>100</formula>
    </cfRule>
  </conditionalFormatting>
  <conditionalFormatting sqref="G1:J1048576">
    <cfRule type="cellIs" dxfId="1" priority="1" operator="greaterThan">
      <formula>100</formula>
    </cfRule>
  </conditionalFormatting>
  <pageMargins left="1.2" right="0.7" top="0.25" bottom="0.2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C00000"/>
  </sheetPr>
  <dimension ref="A1:H62"/>
  <sheetViews>
    <sheetView zoomScaleNormal="10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G67" sqref="G67"/>
    </sheetView>
  </sheetViews>
  <sheetFormatPr baseColWidth="10" defaultColWidth="9.19921875" defaultRowHeight="13" x14ac:dyDescent="0.2"/>
  <cols>
    <col min="1" max="1" width="5.19921875" style="2" customWidth="1"/>
    <col min="2" max="2" width="24.3984375" style="2" bestFit="1" customWidth="1"/>
    <col min="3" max="3" width="12" style="2" customWidth="1"/>
    <col min="4" max="6" width="12.3984375" style="2" customWidth="1"/>
    <col min="7" max="7" width="13" style="2" customWidth="1"/>
    <col min="8" max="8" width="11.796875" style="2" customWidth="1"/>
    <col min="9" max="9" width="10" style="2" bestFit="1" customWidth="1"/>
    <col min="10" max="16384" width="9.19921875" style="2"/>
  </cols>
  <sheetData>
    <row r="1" spans="1:8" ht="18.75" customHeight="1" x14ac:dyDescent="0.2">
      <c r="A1" s="458" t="s">
        <v>1041</v>
      </c>
      <c r="B1" s="458"/>
      <c r="C1" s="458"/>
      <c r="D1" s="458"/>
      <c r="E1" s="458"/>
      <c r="F1" s="458"/>
      <c r="G1" s="458"/>
      <c r="H1" s="458"/>
    </row>
    <row r="2" spans="1:8" ht="14" x14ac:dyDescent="0.2">
      <c r="A2" s="30"/>
      <c r="B2" s="30"/>
      <c r="C2" s="30"/>
      <c r="D2" s="30"/>
      <c r="E2" s="30"/>
      <c r="F2" s="30"/>
      <c r="G2" s="30"/>
      <c r="H2" s="30"/>
    </row>
    <row r="3" spans="1:8" ht="17" x14ac:dyDescent="0.2">
      <c r="A3" s="24"/>
      <c r="B3" s="482" t="s">
        <v>11</v>
      </c>
      <c r="C3" s="482"/>
      <c r="D3" s="482"/>
      <c r="E3" s="302"/>
      <c r="F3" s="302"/>
      <c r="H3" s="59" t="s">
        <v>174</v>
      </c>
    </row>
    <row r="4" spans="1:8" ht="55" customHeight="1" x14ac:dyDescent="0.2">
      <c r="A4" s="468" t="s">
        <v>194</v>
      </c>
      <c r="B4" s="468" t="s">
        <v>2</v>
      </c>
      <c r="C4" s="470" t="s">
        <v>450</v>
      </c>
      <c r="D4" s="480"/>
      <c r="E4" s="470" t="s">
        <v>219</v>
      </c>
      <c r="F4" s="480"/>
      <c r="G4" s="455" t="s">
        <v>1042</v>
      </c>
      <c r="H4" s="455"/>
    </row>
    <row r="5" spans="1:8" ht="15" x14ac:dyDescent="0.2">
      <c r="A5" s="469"/>
      <c r="B5" s="471"/>
      <c r="C5" s="299" t="s">
        <v>27</v>
      </c>
      <c r="D5" s="299" t="s">
        <v>15</v>
      </c>
      <c r="E5" s="299" t="s">
        <v>27</v>
      </c>
      <c r="F5" s="299" t="s">
        <v>15</v>
      </c>
      <c r="G5" s="299" t="s">
        <v>27</v>
      </c>
      <c r="H5" s="299" t="s">
        <v>15</v>
      </c>
    </row>
    <row r="6" spans="1:8" ht="13" customHeight="1" x14ac:dyDescent="0.2">
      <c r="A6" s="105">
        <v>1</v>
      </c>
      <c r="B6" s="40" t="s">
        <v>51</v>
      </c>
      <c r="C6" s="311">
        <v>78125</v>
      </c>
      <c r="D6" s="311">
        <v>161024</v>
      </c>
      <c r="E6" s="311">
        <v>31005</v>
      </c>
      <c r="F6" s="311">
        <v>26954</v>
      </c>
      <c r="G6" s="311">
        <v>1310</v>
      </c>
      <c r="H6" s="311">
        <v>1920</v>
      </c>
    </row>
    <row r="7" spans="1:8" ht="13" customHeight="1" x14ac:dyDescent="0.2">
      <c r="A7" s="105">
        <v>2</v>
      </c>
      <c r="B7" s="40" t="s">
        <v>52</v>
      </c>
      <c r="C7" s="311">
        <v>135514</v>
      </c>
      <c r="D7" s="311">
        <v>237276</v>
      </c>
      <c r="E7" s="311">
        <v>58121</v>
      </c>
      <c r="F7" s="311">
        <v>26248</v>
      </c>
      <c r="G7" s="311">
        <v>741</v>
      </c>
      <c r="H7" s="311">
        <v>208</v>
      </c>
    </row>
    <row r="8" spans="1:8" ht="13" customHeight="1" x14ac:dyDescent="0.2">
      <c r="A8" s="105">
        <v>3</v>
      </c>
      <c r="B8" s="40" t="s">
        <v>53</v>
      </c>
      <c r="C8" s="311">
        <v>23680</v>
      </c>
      <c r="D8" s="311">
        <v>40496.239999999998</v>
      </c>
      <c r="E8" s="311">
        <v>9746</v>
      </c>
      <c r="F8" s="311">
        <v>3127.04</v>
      </c>
      <c r="G8" s="311">
        <v>132</v>
      </c>
      <c r="H8" s="311">
        <v>234</v>
      </c>
    </row>
    <row r="9" spans="1:8" ht="13" customHeight="1" x14ac:dyDescent="0.2">
      <c r="A9" s="105">
        <v>4</v>
      </c>
      <c r="B9" s="40" t="s">
        <v>54</v>
      </c>
      <c r="C9" s="311">
        <v>90911</v>
      </c>
      <c r="D9" s="311">
        <v>188314</v>
      </c>
      <c r="E9" s="311">
        <v>39916</v>
      </c>
      <c r="F9" s="311">
        <v>32749</v>
      </c>
      <c r="G9" s="311">
        <v>22353</v>
      </c>
      <c r="H9" s="311">
        <v>30615.200000000001</v>
      </c>
    </row>
    <row r="10" spans="1:8" ht="13" customHeight="1" x14ac:dyDescent="0.2">
      <c r="A10" s="105">
        <v>5</v>
      </c>
      <c r="B10" s="40" t="s">
        <v>55</v>
      </c>
      <c r="C10" s="311">
        <v>109736</v>
      </c>
      <c r="D10" s="311">
        <v>183871</v>
      </c>
      <c r="E10" s="311">
        <v>68025</v>
      </c>
      <c r="F10" s="311">
        <v>55280</v>
      </c>
      <c r="G10" s="311">
        <v>14790</v>
      </c>
      <c r="H10" s="311">
        <v>14582</v>
      </c>
    </row>
    <row r="11" spans="1:8" ht="13" customHeight="1" x14ac:dyDescent="0.2">
      <c r="A11" s="105">
        <v>6</v>
      </c>
      <c r="B11" s="40" t="s">
        <v>56</v>
      </c>
      <c r="C11" s="311">
        <v>31688</v>
      </c>
      <c r="D11" s="311">
        <v>72073</v>
      </c>
      <c r="E11" s="311">
        <v>8701</v>
      </c>
      <c r="F11" s="311">
        <v>7642</v>
      </c>
      <c r="G11" s="311">
        <v>3329</v>
      </c>
      <c r="H11" s="311">
        <v>5702</v>
      </c>
    </row>
    <row r="12" spans="1:8" ht="13" customHeight="1" x14ac:dyDescent="0.2">
      <c r="A12" s="105">
        <v>7</v>
      </c>
      <c r="B12" s="40" t="s">
        <v>57</v>
      </c>
      <c r="C12" s="311">
        <v>5482</v>
      </c>
      <c r="D12" s="311">
        <v>29687</v>
      </c>
      <c r="E12" s="311">
        <v>1826</v>
      </c>
      <c r="F12" s="311">
        <v>1411</v>
      </c>
      <c r="G12" s="311">
        <v>315</v>
      </c>
      <c r="H12" s="311">
        <v>199</v>
      </c>
    </row>
    <row r="13" spans="1:8" ht="13" customHeight="1" x14ac:dyDescent="0.2">
      <c r="A13" s="105">
        <v>8</v>
      </c>
      <c r="B13" s="40" t="s">
        <v>178</v>
      </c>
      <c r="C13" s="311">
        <v>3672</v>
      </c>
      <c r="D13" s="311">
        <v>8739</v>
      </c>
      <c r="E13" s="311">
        <v>1845</v>
      </c>
      <c r="F13" s="311">
        <v>331</v>
      </c>
      <c r="G13" s="311">
        <v>108</v>
      </c>
      <c r="H13" s="311">
        <v>320</v>
      </c>
    </row>
    <row r="14" spans="1:8" ht="13" customHeight="1" x14ac:dyDescent="0.2">
      <c r="A14" s="105">
        <v>9</v>
      </c>
      <c r="B14" s="40" t="s">
        <v>58</v>
      </c>
      <c r="C14" s="311">
        <v>80527</v>
      </c>
      <c r="D14" s="311">
        <v>239453.27</v>
      </c>
      <c r="E14" s="311">
        <v>44688</v>
      </c>
      <c r="F14" s="311">
        <v>21985.59</v>
      </c>
      <c r="G14" s="311">
        <v>3582</v>
      </c>
      <c r="H14" s="311">
        <v>16923.41</v>
      </c>
    </row>
    <row r="15" spans="1:8" ht="13" customHeight="1" x14ac:dyDescent="0.2">
      <c r="A15" s="105">
        <v>10</v>
      </c>
      <c r="B15" s="40" t="s">
        <v>64</v>
      </c>
      <c r="C15" s="311">
        <v>261529</v>
      </c>
      <c r="D15" s="311">
        <v>815347</v>
      </c>
      <c r="E15" s="311">
        <v>46311</v>
      </c>
      <c r="F15" s="311">
        <v>18896</v>
      </c>
      <c r="G15" s="311">
        <v>21970</v>
      </c>
      <c r="H15" s="311">
        <v>34932</v>
      </c>
    </row>
    <row r="16" spans="1:8" ht="13" customHeight="1" x14ac:dyDescent="0.2">
      <c r="A16" s="105">
        <v>11</v>
      </c>
      <c r="B16" s="40" t="s">
        <v>179</v>
      </c>
      <c r="C16" s="311">
        <v>19518</v>
      </c>
      <c r="D16" s="311">
        <v>44132</v>
      </c>
      <c r="E16" s="311">
        <v>6543</v>
      </c>
      <c r="F16" s="311">
        <v>2131</v>
      </c>
      <c r="G16" s="311">
        <v>581</v>
      </c>
      <c r="H16" s="311">
        <v>1548</v>
      </c>
    </row>
    <row r="17" spans="1:8" ht="13" customHeight="1" x14ac:dyDescent="0.2">
      <c r="A17" s="105">
        <v>12</v>
      </c>
      <c r="B17" s="40" t="s">
        <v>60</v>
      </c>
      <c r="C17" s="311">
        <v>60531</v>
      </c>
      <c r="D17" s="311">
        <v>140260</v>
      </c>
      <c r="E17" s="311">
        <v>23540</v>
      </c>
      <c r="F17" s="311">
        <v>7683</v>
      </c>
      <c r="G17" s="311">
        <v>7144</v>
      </c>
      <c r="H17" s="311">
        <v>15830</v>
      </c>
    </row>
    <row r="18" spans="1:8" s="69" customFormat="1" ht="13" customHeight="1" x14ac:dyDescent="0.2">
      <c r="A18" s="293"/>
      <c r="B18" s="42" t="s">
        <v>215</v>
      </c>
      <c r="C18" s="351">
        <f>SUM(C6:C17)</f>
        <v>900913</v>
      </c>
      <c r="D18" s="351">
        <f t="shared" ref="D18:H18" si="0">SUM(D6:D17)</f>
        <v>2160672.5099999998</v>
      </c>
      <c r="E18" s="351">
        <f t="shared" si="0"/>
        <v>340267</v>
      </c>
      <c r="F18" s="351">
        <f t="shared" si="0"/>
        <v>204437.63</v>
      </c>
      <c r="G18" s="351">
        <f t="shared" si="0"/>
        <v>76355</v>
      </c>
      <c r="H18" s="351">
        <f t="shared" si="0"/>
        <v>123013.61</v>
      </c>
    </row>
    <row r="19" spans="1:8" ht="13" customHeight="1" x14ac:dyDescent="0.2">
      <c r="A19" s="105">
        <v>13</v>
      </c>
      <c r="B19" s="40" t="s">
        <v>41</v>
      </c>
      <c r="C19" s="311">
        <v>113200</v>
      </c>
      <c r="D19" s="311">
        <v>41260.78</v>
      </c>
      <c r="E19" s="311">
        <v>106068</v>
      </c>
      <c r="F19" s="311">
        <v>16936.259999999998</v>
      </c>
      <c r="G19" s="311">
        <v>4260</v>
      </c>
      <c r="H19" s="311">
        <v>7023.28</v>
      </c>
    </row>
    <row r="20" spans="1:8" ht="13" customHeight="1" x14ac:dyDescent="0.2">
      <c r="A20" s="105">
        <v>14</v>
      </c>
      <c r="B20" s="40" t="s">
        <v>180</v>
      </c>
      <c r="C20" s="311">
        <v>624460</v>
      </c>
      <c r="D20" s="311">
        <v>236867</v>
      </c>
      <c r="E20" s="311">
        <v>0</v>
      </c>
      <c r="F20" s="311">
        <v>0</v>
      </c>
      <c r="G20" s="311">
        <v>43687</v>
      </c>
      <c r="H20" s="311">
        <v>24717.74</v>
      </c>
    </row>
    <row r="21" spans="1:8" ht="13" customHeight="1" x14ac:dyDescent="0.2">
      <c r="A21" s="105">
        <v>15</v>
      </c>
      <c r="B21" s="40" t="s">
        <v>181</v>
      </c>
      <c r="C21" s="311">
        <v>49</v>
      </c>
      <c r="D21" s="311">
        <v>48.91</v>
      </c>
      <c r="E21" s="311">
        <v>49</v>
      </c>
      <c r="F21" s="311">
        <v>48.91</v>
      </c>
      <c r="G21" s="311">
        <v>28</v>
      </c>
      <c r="H21" s="311">
        <v>27.81</v>
      </c>
    </row>
    <row r="22" spans="1:8" ht="13" customHeight="1" x14ac:dyDescent="0.2">
      <c r="A22" s="105">
        <v>16</v>
      </c>
      <c r="B22" s="40" t="s">
        <v>45</v>
      </c>
      <c r="C22" s="311">
        <v>16</v>
      </c>
      <c r="D22" s="311">
        <v>395</v>
      </c>
      <c r="E22" s="311">
        <v>0</v>
      </c>
      <c r="F22" s="311">
        <v>0</v>
      </c>
      <c r="G22" s="311">
        <v>0</v>
      </c>
      <c r="H22" s="311">
        <v>0</v>
      </c>
    </row>
    <row r="23" spans="1:8" ht="13" customHeight="1" x14ac:dyDescent="0.2">
      <c r="A23" s="105">
        <v>17</v>
      </c>
      <c r="B23" s="40" t="s">
        <v>182</v>
      </c>
      <c r="C23" s="311">
        <v>78783</v>
      </c>
      <c r="D23" s="311">
        <v>13457</v>
      </c>
      <c r="E23" s="311">
        <v>0</v>
      </c>
      <c r="F23" s="311">
        <v>0</v>
      </c>
      <c r="G23" s="311">
        <v>711</v>
      </c>
      <c r="H23" s="311">
        <v>813</v>
      </c>
    </row>
    <row r="24" spans="1:8" s="69" customFormat="1" ht="13" customHeight="1" x14ac:dyDescent="0.2">
      <c r="A24" s="105">
        <v>18</v>
      </c>
      <c r="B24" s="40" t="s">
        <v>183</v>
      </c>
      <c r="C24" s="311">
        <v>51</v>
      </c>
      <c r="D24" s="311">
        <v>98.74</v>
      </c>
      <c r="E24" s="311">
        <v>0</v>
      </c>
      <c r="F24" s="311">
        <v>0</v>
      </c>
      <c r="G24" s="311">
        <v>20</v>
      </c>
      <c r="H24" s="311">
        <v>25</v>
      </c>
    </row>
    <row r="25" spans="1:8" ht="13" customHeight="1" x14ac:dyDescent="0.2">
      <c r="A25" s="105">
        <v>19</v>
      </c>
      <c r="B25" s="40" t="s">
        <v>184</v>
      </c>
      <c r="C25" s="311">
        <v>1901</v>
      </c>
      <c r="D25" s="311">
        <v>4329</v>
      </c>
      <c r="E25" s="311">
        <v>254</v>
      </c>
      <c r="F25" s="311">
        <v>240</v>
      </c>
      <c r="G25" s="311">
        <v>575</v>
      </c>
      <c r="H25" s="311">
        <v>1094</v>
      </c>
    </row>
    <row r="26" spans="1:8" ht="13" customHeight="1" x14ac:dyDescent="0.2">
      <c r="A26" s="105">
        <v>20</v>
      </c>
      <c r="B26" s="40" t="s">
        <v>65</v>
      </c>
      <c r="C26" s="311">
        <v>284851</v>
      </c>
      <c r="D26" s="311">
        <v>97140.15</v>
      </c>
      <c r="E26" s="311">
        <v>247796</v>
      </c>
      <c r="F26" s="311">
        <v>41371.699999999997</v>
      </c>
      <c r="G26" s="311">
        <v>4907</v>
      </c>
      <c r="H26" s="311">
        <v>6397.47</v>
      </c>
    </row>
    <row r="27" spans="1:8" ht="13" customHeight="1" x14ac:dyDescent="0.2">
      <c r="A27" s="105">
        <v>21</v>
      </c>
      <c r="B27" s="40" t="s">
        <v>66</v>
      </c>
      <c r="C27" s="311">
        <v>69124</v>
      </c>
      <c r="D27" s="311">
        <v>469152</v>
      </c>
      <c r="E27" s="311">
        <v>37851</v>
      </c>
      <c r="F27" s="311">
        <v>31903</v>
      </c>
      <c r="G27" s="311">
        <v>17758</v>
      </c>
      <c r="H27" s="311">
        <v>41790</v>
      </c>
    </row>
    <row r="28" spans="1:8" ht="13" customHeight="1" x14ac:dyDescent="0.2">
      <c r="A28" s="105">
        <v>22</v>
      </c>
      <c r="B28" s="40" t="s">
        <v>75</v>
      </c>
      <c r="C28" s="311">
        <v>25085</v>
      </c>
      <c r="D28" s="311">
        <v>39441</v>
      </c>
      <c r="E28" s="311">
        <v>2528</v>
      </c>
      <c r="F28" s="311">
        <v>563</v>
      </c>
      <c r="G28" s="311">
        <v>2022</v>
      </c>
      <c r="H28" s="311">
        <v>4409</v>
      </c>
    </row>
    <row r="29" spans="1:8" ht="13" customHeight="1" x14ac:dyDescent="0.2">
      <c r="A29" s="105">
        <v>23</v>
      </c>
      <c r="B29" s="40" t="s">
        <v>379</v>
      </c>
      <c r="C29" s="311">
        <v>186507</v>
      </c>
      <c r="D29" s="311">
        <v>51142</v>
      </c>
      <c r="E29" s="311">
        <v>182948</v>
      </c>
      <c r="F29" s="311">
        <v>39339</v>
      </c>
      <c r="G29" s="311">
        <v>5072</v>
      </c>
      <c r="H29" s="311">
        <v>3901</v>
      </c>
    </row>
    <row r="30" spans="1:8" ht="13" customHeight="1" x14ac:dyDescent="0.2">
      <c r="A30" s="105">
        <v>24</v>
      </c>
      <c r="B30" s="40" t="s">
        <v>185</v>
      </c>
      <c r="C30" s="40">
        <v>566230</v>
      </c>
      <c r="D30" s="40">
        <v>131379</v>
      </c>
      <c r="E30" s="40">
        <v>0</v>
      </c>
      <c r="F30" s="40">
        <v>0</v>
      </c>
      <c r="G30" s="40">
        <v>91103</v>
      </c>
      <c r="H30" s="40">
        <v>29600</v>
      </c>
    </row>
    <row r="31" spans="1:8" ht="13" customHeight="1" x14ac:dyDescent="0.2">
      <c r="A31" s="105">
        <v>25</v>
      </c>
      <c r="B31" s="40" t="s">
        <v>186</v>
      </c>
      <c r="C31" s="311">
        <v>90</v>
      </c>
      <c r="D31" s="311">
        <v>105</v>
      </c>
      <c r="E31" s="311">
        <v>32</v>
      </c>
      <c r="F31" s="311">
        <v>27</v>
      </c>
      <c r="G31" s="311">
        <v>1</v>
      </c>
      <c r="H31" s="311">
        <v>2</v>
      </c>
    </row>
    <row r="32" spans="1:8" ht="13" customHeight="1" x14ac:dyDescent="0.2">
      <c r="A32" s="105">
        <v>26</v>
      </c>
      <c r="B32" s="40" t="s">
        <v>187</v>
      </c>
      <c r="C32" s="311">
        <v>411</v>
      </c>
      <c r="D32" s="311">
        <v>3058.27</v>
      </c>
      <c r="E32" s="311">
        <v>58</v>
      </c>
      <c r="F32" s="311">
        <v>26.22</v>
      </c>
      <c r="G32" s="311">
        <v>19</v>
      </c>
      <c r="H32" s="311">
        <v>45.94</v>
      </c>
    </row>
    <row r="33" spans="1:8" ht="13" customHeight="1" x14ac:dyDescent="0.2">
      <c r="A33" s="105">
        <v>27</v>
      </c>
      <c r="B33" s="40" t="s">
        <v>188</v>
      </c>
      <c r="C33" s="311">
        <v>0</v>
      </c>
      <c r="D33" s="311">
        <v>0</v>
      </c>
      <c r="E33" s="311">
        <v>0</v>
      </c>
      <c r="F33" s="311">
        <v>0</v>
      </c>
      <c r="G33" s="311">
        <v>0</v>
      </c>
      <c r="H33" s="311">
        <v>0</v>
      </c>
    </row>
    <row r="34" spans="1:8" ht="13" customHeight="1" x14ac:dyDescent="0.2">
      <c r="A34" s="105">
        <v>28</v>
      </c>
      <c r="B34" s="40" t="s">
        <v>67</v>
      </c>
      <c r="C34" s="311">
        <v>0</v>
      </c>
      <c r="D34" s="311">
        <v>0</v>
      </c>
      <c r="E34" s="311">
        <v>0</v>
      </c>
      <c r="F34" s="311">
        <v>0</v>
      </c>
      <c r="G34" s="311">
        <v>0</v>
      </c>
      <c r="H34" s="311">
        <v>0</v>
      </c>
    </row>
    <row r="35" spans="1:8" ht="13" customHeight="1" x14ac:dyDescent="0.2">
      <c r="A35" s="105">
        <v>29</v>
      </c>
      <c r="B35" s="40" t="s">
        <v>189</v>
      </c>
      <c r="C35" s="311">
        <v>48</v>
      </c>
      <c r="D35" s="311">
        <v>108</v>
      </c>
      <c r="E35" s="311">
        <v>0</v>
      </c>
      <c r="F35" s="311">
        <v>0</v>
      </c>
      <c r="G35" s="311">
        <v>0</v>
      </c>
      <c r="H35" s="311">
        <v>0</v>
      </c>
    </row>
    <row r="36" spans="1:8" ht="13" customHeight="1" x14ac:dyDescent="0.2">
      <c r="A36" s="105">
        <v>30</v>
      </c>
      <c r="B36" s="40" t="s">
        <v>190</v>
      </c>
      <c r="C36" s="311">
        <v>187172</v>
      </c>
      <c r="D36" s="311">
        <v>37985</v>
      </c>
      <c r="E36" s="311">
        <v>186943</v>
      </c>
      <c r="F36" s="311">
        <v>36546</v>
      </c>
      <c r="G36" s="311">
        <v>2761</v>
      </c>
      <c r="H36" s="311">
        <v>1321</v>
      </c>
    </row>
    <row r="37" spans="1:8" ht="13" customHeight="1" x14ac:dyDescent="0.2">
      <c r="A37" s="105">
        <v>31</v>
      </c>
      <c r="B37" s="40" t="s">
        <v>191</v>
      </c>
      <c r="C37" s="311">
        <v>75</v>
      </c>
      <c r="D37" s="311">
        <v>90</v>
      </c>
      <c r="E37" s="311">
        <v>25</v>
      </c>
      <c r="F37" s="311">
        <v>20</v>
      </c>
      <c r="G37" s="311">
        <v>10</v>
      </c>
      <c r="H37" s="311">
        <v>15</v>
      </c>
    </row>
    <row r="38" spans="1:8" ht="13" customHeight="1" x14ac:dyDescent="0.2">
      <c r="A38" s="105">
        <v>32</v>
      </c>
      <c r="B38" s="40" t="s">
        <v>71</v>
      </c>
      <c r="C38" s="311">
        <v>0</v>
      </c>
      <c r="D38" s="311">
        <v>0</v>
      </c>
      <c r="E38" s="311">
        <v>0</v>
      </c>
      <c r="F38" s="311">
        <v>0</v>
      </c>
      <c r="G38" s="311">
        <v>0</v>
      </c>
      <c r="H38" s="311">
        <v>0</v>
      </c>
    </row>
    <row r="39" spans="1:8" ht="13" customHeight="1" x14ac:dyDescent="0.2">
      <c r="A39" s="105">
        <v>33</v>
      </c>
      <c r="B39" s="40" t="s">
        <v>192</v>
      </c>
      <c r="C39" s="311">
        <v>77</v>
      </c>
      <c r="D39" s="311">
        <v>343</v>
      </c>
      <c r="E39" s="311">
        <v>0</v>
      </c>
      <c r="F39" s="311">
        <v>0</v>
      </c>
      <c r="G39" s="311">
        <v>19</v>
      </c>
      <c r="H39" s="311">
        <v>58</v>
      </c>
    </row>
    <row r="40" spans="1:8" ht="13" customHeight="1" x14ac:dyDescent="0.2">
      <c r="A40" s="105">
        <v>34</v>
      </c>
      <c r="B40" s="40" t="s">
        <v>70</v>
      </c>
      <c r="C40" s="311">
        <v>102331</v>
      </c>
      <c r="D40" s="311">
        <v>18395</v>
      </c>
      <c r="E40" s="311">
        <v>0</v>
      </c>
      <c r="F40" s="311">
        <v>0</v>
      </c>
      <c r="G40" s="311">
        <v>0</v>
      </c>
      <c r="H40" s="311">
        <v>0</v>
      </c>
    </row>
    <row r="41" spans="1:8" s="69" customFormat="1" ht="13" customHeight="1" x14ac:dyDescent="0.2">
      <c r="A41" s="293"/>
      <c r="B41" s="42" t="s">
        <v>213</v>
      </c>
      <c r="C41" s="351">
        <f>SUM(C19:C40)</f>
        <v>2240461</v>
      </c>
      <c r="D41" s="351">
        <f t="shared" ref="D41:H41" si="1">SUM(D19:D40)</f>
        <v>1144794.8500000001</v>
      </c>
      <c r="E41" s="351">
        <f t="shared" si="1"/>
        <v>764552</v>
      </c>
      <c r="F41" s="351">
        <f t="shared" si="1"/>
        <v>167021.09</v>
      </c>
      <c r="G41" s="351">
        <f t="shared" si="1"/>
        <v>172953</v>
      </c>
      <c r="H41" s="351">
        <f t="shared" si="1"/>
        <v>121240.24</v>
      </c>
    </row>
    <row r="42" spans="1:8" s="69" customFormat="1" ht="13" customHeight="1" x14ac:dyDescent="0.2">
      <c r="A42" s="293"/>
      <c r="B42" s="42" t="s">
        <v>311</v>
      </c>
      <c r="C42" s="289">
        <f>C41+C18</f>
        <v>3141374</v>
      </c>
      <c r="D42" s="289">
        <f t="shared" ref="D42:H42" si="2">D41+D18</f>
        <v>3305467.36</v>
      </c>
      <c r="E42" s="289">
        <f t="shared" si="2"/>
        <v>1104819</v>
      </c>
      <c r="F42" s="289">
        <f t="shared" si="2"/>
        <v>371458.72</v>
      </c>
      <c r="G42" s="289">
        <f t="shared" si="2"/>
        <v>249308</v>
      </c>
      <c r="H42" s="289">
        <f t="shared" si="2"/>
        <v>244253.85</v>
      </c>
    </row>
    <row r="43" spans="1:8" ht="13" customHeight="1" x14ac:dyDescent="0.2">
      <c r="A43" s="105">
        <v>35</v>
      </c>
      <c r="B43" s="40" t="s">
        <v>193</v>
      </c>
      <c r="C43" s="311">
        <v>31533</v>
      </c>
      <c r="D43" s="311">
        <v>17076</v>
      </c>
      <c r="E43" s="311">
        <v>5499</v>
      </c>
      <c r="F43" s="311">
        <v>3801</v>
      </c>
      <c r="G43" s="311">
        <v>1329</v>
      </c>
      <c r="H43" s="311">
        <v>4423</v>
      </c>
    </row>
    <row r="44" spans="1:8" ht="13" customHeight="1" x14ac:dyDescent="0.2">
      <c r="A44" s="105">
        <v>36</v>
      </c>
      <c r="B44" s="40" t="s">
        <v>382</v>
      </c>
      <c r="C44" s="311">
        <v>171834</v>
      </c>
      <c r="D44" s="311">
        <v>169842.45</v>
      </c>
      <c r="E44" s="311">
        <v>126649</v>
      </c>
      <c r="F44" s="311">
        <v>43067.27</v>
      </c>
      <c r="G44" s="311">
        <v>4401</v>
      </c>
      <c r="H44" s="311">
        <v>5724.45</v>
      </c>
    </row>
    <row r="45" spans="1:8" s="69" customFormat="1" ht="13" customHeight="1" x14ac:dyDescent="0.2">
      <c r="A45" s="293"/>
      <c r="B45" s="42" t="s">
        <v>216</v>
      </c>
      <c r="C45" s="351">
        <f>C44+C43</f>
        <v>203367</v>
      </c>
      <c r="D45" s="351">
        <f t="shared" ref="D45:H45" si="3">D44+D43</f>
        <v>186918.45</v>
      </c>
      <c r="E45" s="351">
        <f t="shared" si="3"/>
        <v>132148</v>
      </c>
      <c r="F45" s="351">
        <f t="shared" si="3"/>
        <v>46868.27</v>
      </c>
      <c r="G45" s="351">
        <f t="shared" si="3"/>
        <v>5730</v>
      </c>
      <c r="H45" s="351">
        <f t="shared" si="3"/>
        <v>10147.450000000001</v>
      </c>
    </row>
    <row r="46" spans="1:8" ht="13" customHeight="1" x14ac:dyDescent="0.2">
      <c r="A46" s="105">
        <v>37</v>
      </c>
      <c r="B46" s="40" t="s">
        <v>312</v>
      </c>
      <c r="C46" s="311">
        <v>0</v>
      </c>
      <c r="D46" s="311">
        <v>0</v>
      </c>
      <c r="E46" s="311">
        <v>0</v>
      </c>
      <c r="F46" s="311">
        <v>0</v>
      </c>
      <c r="G46" s="311">
        <v>0</v>
      </c>
      <c r="H46" s="311">
        <v>0</v>
      </c>
    </row>
    <row r="47" spans="1:8" s="69" customFormat="1" ht="13" customHeight="1" x14ac:dyDescent="0.2">
      <c r="A47" s="293"/>
      <c r="B47" s="42" t="s">
        <v>214</v>
      </c>
      <c r="C47" s="351">
        <f>C46</f>
        <v>0</v>
      </c>
      <c r="D47" s="351">
        <f t="shared" ref="D47:H47" si="4">D46</f>
        <v>0</v>
      </c>
      <c r="E47" s="351">
        <f t="shared" si="4"/>
        <v>0</v>
      </c>
      <c r="F47" s="351">
        <f t="shared" si="4"/>
        <v>0</v>
      </c>
      <c r="G47" s="351">
        <f t="shared" si="4"/>
        <v>0</v>
      </c>
      <c r="H47" s="351">
        <f t="shared" si="4"/>
        <v>0</v>
      </c>
    </row>
    <row r="48" spans="1:8" s="69" customFormat="1" ht="13" customHeight="1" x14ac:dyDescent="0.2">
      <c r="A48" s="105">
        <v>38</v>
      </c>
      <c r="B48" s="40" t="s">
        <v>304</v>
      </c>
      <c r="C48" s="311">
        <v>4625</v>
      </c>
      <c r="D48" s="311">
        <v>14705.45</v>
      </c>
      <c r="E48" s="311">
        <v>33</v>
      </c>
      <c r="F48" s="311">
        <v>8.0299999999999994</v>
      </c>
      <c r="G48" s="311">
        <v>252</v>
      </c>
      <c r="H48" s="311">
        <v>755.52</v>
      </c>
    </row>
    <row r="49" spans="1:8" ht="13" customHeight="1" x14ac:dyDescent="0.2">
      <c r="A49" s="105">
        <v>39</v>
      </c>
      <c r="B49" s="40" t="s">
        <v>305</v>
      </c>
      <c r="C49" s="311">
        <v>0</v>
      </c>
      <c r="D49" s="311">
        <v>0</v>
      </c>
      <c r="E49" s="311">
        <v>0</v>
      </c>
      <c r="F49" s="311">
        <v>0</v>
      </c>
      <c r="G49" s="311">
        <v>0</v>
      </c>
      <c r="H49" s="311">
        <v>0</v>
      </c>
    </row>
    <row r="50" spans="1:8" ht="13" customHeight="1" x14ac:dyDescent="0.2">
      <c r="A50" s="105">
        <v>40</v>
      </c>
      <c r="B50" s="40" t="s">
        <v>383</v>
      </c>
      <c r="C50" s="311">
        <v>191954</v>
      </c>
      <c r="D50" s="311">
        <v>41219.56</v>
      </c>
      <c r="E50" s="311">
        <v>191954</v>
      </c>
      <c r="F50" s="311">
        <v>41219.56</v>
      </c>
      <c r="G50" s="311">
        <v>8838</v>
      </c>
      <c r="H50" s="311">
        <v>3142.12</v>
      </c>
    </row>
    <row r="51" spans="1:8" s="69" customFormat="1" ht="13" customHeight="1" x14ac:dyDescent="0.2">
      <c r="A51" s="105">
        <v>41</v>
      </c>
      <c r="B51" s="40" t="s">
        <v>306</v>
      </c>
      <c r="C51" s="311">
        <v>269588</v>
      </c>
      <c r="D51" s="311">
        <v>54980.77</v>
      </c>
      <c r="E51" s="311">
        <v>0</v>
      </c>
      <c r="F51" s="311">
        <v>0</v>
      </c>
      <c r="G51" s="311">
        <v>37206</v>
      </c>
      <c r="H51" s="311">
        <v>10681.18</v>
      </c>
    </row>
    <row r="52" spans="1:8" ht="13" customHeight="1" x14ac:dyDescent="0.2">
      <c r="A52" s="105">
        <v>42</v>
      </c>
      <c r="B52" s="40" t="s">
        <v>307</v>
      </c>
      <c r="C52" s="311">
        <v>64356</v>
      </c>
      <c r="D52" s="311">
        <v>19285</v>
      </c>
      <c r="E52" s="311">
        <v>0</v>
      </c>
      <c r="F52" s="311">
        <v>0</v>
      </c>
      <c r="G52" s="311">
        <v>0</v>
      </c>
      <c r="H52" s="311">
        <v>0</v>
      </c>
    </row>
    <row r="53" spans="1:8" s="69" customFormat="1" ht="13" customHeight="1" x14ac:dyDescent="0.2">
      <c r="A53" s="105">
        <v>43</v>
      </c>
      <c r="B53" s="40" t="s">
        <v>308</v>
      </c>
      <c r="C53" s="311">
        <v>109092</v>
      </c>
      <c r="D53" s="311">
        <v>23631.58</v>
      </c>
      <c r="E53" s="311">
        <f>C53*42%</f>
        <v>45818.64</v>
      </c>
      <c r="F53" s="311">
        <v>13990</v>
      </c>
      <c r="G53" s="311">
        <v>7904</v>
      </c>
      <c r="H53" s="311">
        <v>1292.69</v>
      </c>
    </row>
    <row r="54" spans="1:8" ht="13" customHeight="1" x14ac:dyDescent="0.2">
      <c r="A54" s="105">
        <v>44</v>
      </c>
      <c r="B54" s="40" t="s">
        <v>300</v>
      </c>
      <c r="C54" s="311">
        <v>67295</v>
      </c>
      <c r="D54" s="311">
        <v>14743.87</v>
      </c>
      <c r="E54" s="311">
        <v>0</v>
      </c>
      <c r="F54" s="311">
        <v>0</v>
      </c>
      <c r="G54" s="311">
        <v>2469</v>
      </c>
      <c r="H54" s="311">
        <v>1108.8399999999999</v>
      </c>
    </row>
    <row r="55" spans="1:8" ht="13" customHeight="1" x14ac:dyDescent="0.2">
      <c r="A55" s="105">
        <v>45</v>
      </c>
      <c r="B55" s="40" t="s">
        <v>309</v>
      </c>
      <c r="C55" s="311">
        <v>97286</v>
      </c>
      <c r="D55" s="311">
        <v>26886</v>
      </c>
      <c r="E55" s="311">
        <v>97286</v>
      </c>
      <c r="F55" s="311">
        <v>26886</v>
      </c>
      <c r="G55" s="311">
        <v>2848</v>
      </c>
      <c r="H55" s="311">
        <v>1264</v>
      </c>
    </row>
    <row r="56" spans="1:8" s="69" customFormat="1" ht="13" customHeight="1" x14ac:dyDescent="0.2">
      <c r="A56" s="293"/>
      <c r="B56" s="42" t="s">
        <v>310</v>
      </c>
      <c r="C56" s="351">
        <f>SUM(C48:C55)</f>
        <v>804196</v>
      </c>
      <c r="D56" s="351">
        <f t="shared" ref="D56:H56" si="5">SUM(D48:D55)</f>
        <v>195452.22999999998</v>
      </c>
      <c r="E56" s="351">
        <f t="shared" si="5"/>
        <v>335091.64</v>
      </c>
      <c r="F56" s="351">
        <f t="shared" si="5"/>
        <v>82103.59</v>
      </c>
      <c r="G56" s="351">
        <f t="shared" si="5"/>
        <v>59517</v>
      </c>
      <c r="H56" s="351">
        <f t="shared" si="5"/>
        <v>18244.349999999999</v>
      </c>
    </row>
    <row r="57" spans="1:8" ht="13" customHeight="1" x14ac:dyDescent="0.2">
      <c r="A57" s="292"/>
      <c r="B57" s="289" t="s">
        <v>0</v>
      </c>
      <c r="C57" s="351">
        <f>C56+C47+C45+C42</f>
        <v>4148937</v>
      </c>
      <c r="D57" s="351">
        <f t="shared" ref="D57:H57" si="6">D56+D47+D45+D42</f>
        <v>3687838.04</v>
      </c>
      <c r="E57" s="351">
        <f t="shared" si="6"/>
        <v>1572058.6400000001</v>
      </c>
      <c r="F57" s="351">
        <f t="shared" si="6"/>
        <v>500430.57999999996</v>
      </c>
      <c r="G57" s="351">
        <f t="shared" si="6"/>
        <v>314555</v>
      </c>
      <c r="H57" s="351">
        <f t="shared" si="6"/>
        <v>272645.65000000002</v>
      </c>
    </row>
    <row r="58" spans="1:8" ht="14" x14ac:dyDescent="0.2">
      <c r="D58" s="148" t="s">
        <v>1094</v>
      </c>
    </row>
    <row r="60" spans="1:8" ht="14" x14ac:dyDescent="0.2">
      <c r="C60" s="109"/>
      <c r="D60" s="109"/>
      <c r="E60" s="109"/>
      <c r="F60" s="109"/>
      <c r="G60" s="109"/>
      <c r="H60" s="109"/>
    </row>
    <row r="62" spans="1:8" x14ac:dyDescent="0.2">
      <c r="C62" s="74"/>
      <c r="D62" s="74"/>
      <c r="E62" s="74"/>
      <c r="F62" s="74"/>
      <c r="G62" s="74"/>
      <c r="H62" s="74"/>
    </row>
  </sheetData>
  <mergeCells count="7">
    <mergeCell ref="A1:H1"/>
    <mergeCell ref="B3:D3"/>
    <mergeCell ref="A4:A5"/>
    <mergeCell ref="B4:B5"/>
    <mergeCell ref="C4:D4"/>
    <mergeCell ref="G4:H4"/>
    <mergeCell ref="E4:F4"/>
  </mergeCells>
  <pageMargins left="1.2" right="0.45" top="0.75" bottom="0.5" header="0.3" footer="0.3"/>
  <pageSetup paperSize="9" scale="8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7"/>
  <sheetViews>
    <sheetView view="pageBreakPreview" zoomScaleNormal="100" zoomScaleSheetLayoutView="100" workbookViewId="0">
      <pane xSplit="2" ySplit="1" topLeftCell="C2" activePane="bottomRight" state="frozen"/>
      <selection pane="topRight" activeCell="B1" sqref="B1"/>
      <selection pane="bottomLeft" activeCell="A5" sqref="A5"/>
      <selection pane="bottomRight" activeCell="E13" sqref="E13"/>
    </sheetView>
  </sheetViews>
  <sheetFormatPr baseColWidth="10" defaultColWidth="9.19921875" defaultRowHeight="14" x14ac:dyDescent="0.2"/>
  <cols>
    <col min="1" max="1" width="4.19921875" style="232" customWidth="1"/>
    <col min="2" max="2" width="26" style="231" bestFit="1" customWidth="1"/>
    <col min="3" max="6" width="10.19921875" style="231" bestFit="1" customWidth="1"/>
    <col min="7" max="7" width="9" style="231" bestFit="1" customWidth="1"/>
    <col min="8" max="8" width="12" style="240" bestFit="1" customWidth="1"/>
    <col min="9" max="16384" width="9.19921875" style="231"/>
  </cols>
  <sheetData>
    <row r="1" spans="1:8" s="243" customFormat="1" ht="35" customHeight="1" x14ac:dyDescent="0.2">
      <c r="A1" s="483" t="s">
        <v>1021</v>
      </c>
      <c r="B1" s="483"/>
      <c r="C1" s="483"/>
      <c r="D1" s="483"/>
      <c r="E1" s="483"/>
      <c r="F1" s="483"/>
      <c r="G1" s="483"/>
      <c r="H1" s="483"/>
    </row>
    <row r="2" spans="1:8" s="243" customFormat="1" ht="16" x14ac:dyDescent="0.2">
      <c r="A2" s="230"/>
      <c r="B2" s="230"/>
      <c r="C2" s="230"/>
      <c r="D2" s="230"/>
      <c r="E2" s="230"/>
      <c r="F2" s="230"/>
      <c r="G2" s="230"/>
      <c r="H2" s="230"/>
    </row>
    <row r="3" spans="1:8" x14ac:dyDescent="0.2">
      <c r="F3" s="231" t="s">
        <v>1019</v>
      </c>
    </row>
    <row r="4" spans="1:8" s="234" customFormat="1" ht="60" x14ac:dyDescent="0.2">
      <c r="A4" s="114" t="s">
        <v>110</v>
      </c>
      <c r="B4" s="235" t="s">
        <v>263</v>
      </c>
      <c r="C4" s="235" t="s">
        <v>1011</v>
      </c>
      <c r="D4" s="235" t="s">
        <v>1012</v>
      </c>
      <c r="E4" s="235" t="s">
        <v>1013</v>
      </c>
      <c r="F4" s="235" t="s">
        <v>1014</v>
      </c>
      <c r="G4" s="235" t="s">
        <v>1015</v>
      </c>
      <c r="H4" s="241" t="s">
        <v>1020</v>
      </c>
    </row>
    <row r="5" spans="1:8" x14ac:dyDescent="0.2">
      <c r="A5" s="141">
        <v>1</v>
      </c>
      <c r="B5" s="236" t="s">
        <v>51</v>
      </c>
      <c r="C5" s="236">
        <v>3143526</v>
      </c>
      <c r="D5" s="236">
        <v>1660004</v>
      </c>
      <c r="E5" s="236">
        <v>2911946</v>
      </c>
      <c r="F5" s="236">
        <v>2998891</v>
      </c>
      <c r="G5" s="236">
        <v>217916</v>
      </c>
      <c r="H5" s="237">
        <v>755.12851192299979</v>
      </c>
    </row>
    <row r="6" spans="1:8" x14ac:dyDescent="0.2">
      <c r="A6" s="141">
        <v>2</v>
      </c>
      <c r="B6" s="236" t="s">
        <v>52</v>
      </c>
      <c r="C6" s="236">
        <v>4203843</v>
      </c>
      <c r="D6" s="236">
        <v>2308317</v>
      </c>
      <c r="E6" s="236">
        <v>3739084</v>
      </c>
      <c r="F6" s="236">
        <v>3654063</v>
      </c>
      <c r="G6" s="236">
        <v>350836</v>
      </c>
      <c r="H6" s="237">
        <v>1036.034843138</v>
      </c>
    </row>
    <row r="7" spans="1:8" x14ac:dyDescent="0.2">
      <c r="A7" s="141">
        <v>3</v>
      </c>
      <c r="B7" s="236" t="s">
        <v>53</v>
      </c>
      <c r="C7" s="236">
        <v>633301</v>
      </c>
      <c r="D7" s="236">
        <v>334447</v>
      </c>
      <c r="E7" s="236">
        <v>245993</v>
      </c>
      <c r="F7" s="236">
        <v>579744</v>
      </c>
      <c r="G7" s="236">
        <v>93441</v>
      </c>
      <c r="H7" s="237">
        <v>232.9194305</v>
      </c>
    </row>
    <row r="8" spans="1:8" x14ac:dyDescent="0.2">
      <c r="A8" s="141">
        <v>4</v>
      </c>
      <c r="B8" s="236" t="s">
        <v>54</v>
      </c>
      <c r="C8" s="236">
        <v>435224</v>
      </c>
      <c r="D8" s="236">
        <v>211148</v>
      </c>
      <c r="E8" s="236">
        <v>260514</v>
      </c>
      <c r="F8" s="236">
        <v>388403</v>
      </c>
      <c r="G8" s="236">
        <v>60511</v>
      </c>
      <c r="H8" s="237">
        <v>195.99498820599999</v>
      </c>
    </row>
    <row r="9" spans="1:8" x14ac:dyDescent="0.2">
      <c r="A9" s="141">
        <v>5</v>
      </c>
      <c r="B9" s="236" t="s">
        <v>55</v>
      </c>
      <c r="C9" s="236">
        <v>2337134</v>
      </c>
      <c r="D9" s="236">
        <v>1225784</v>
      </c>
      <c r="E9" s="236">
        <v>1282239</v>
      </c>
      <c r="F9" s="236">
        <v>2030481</v>
      </c>
      <c r="G9" s="236">
        <v>291247</v>
      </c>
      <c r="H9" s="237">
        <v>595.18224493399998</v>
      </c>
    </row>
    <row r="10" spans="1:8" x14ac:dyDescent="0.2">
      <c r="A10" s="141">
        <v>6</v>
      </c>
      <c r="B10" s="236" t="s">
        <v>56</v>
      </c>
      <c r="C10" s="236">
        <v>1059986</v>
      </c>
      <c r="D10" s="236">
        <v>589555</v>
      </c>
      <c r="E10" s="236">
        <v>552260</v>
      </c>
      <c r="F10" s="236">
        <v>923879</v>
      </c>
      <c r="G10" s="236">
        <v>14202</v>
      </c>
      <c r="H10" s="237">
        <v>376.52000569199998</v>
      </c>
    </row>
    <row r="11" spans="1:8" x14ac:dyDescent="0.2">
      <c r="A11" s="141">
        <v>7</v>
      </c>
      <c r="B11" s="236" t="s">
        <v>57</v>
      </c>
      <c r="C11" s="236">
        <v>76930</v>
      </c>
      <c r="D11" s="236">
        <v>37954</v>
      </c>
      <c r="E11" s="236">
        <v>72500</v>
      </c>
      <c r="F11" s="236">
        <v>62798</v>
      </c>
      <c r="G11" s="236">
        <v>10837</v>
      </c>
      <c r="H11" s="237">
        <v>24.652056096999996</v>
      </c>
    </row>
    <row r="12" spans="1:8" x14ac:dyDescent="0.2">
      <c r="A12" s="141">
        <v>8</v>
      </c>
      <c r="B12" s="236" t="s">
        <v>77</v>
      </c>
      <c r="C12" s="236">
        <v>48381</v>
      </c>
      <c r="D12" s="236">
        <v>22947</v>
      </c>
      <c r="E12" s="236">
        <v>33398</v>
      </c>
      <c r="F12" s="236">
        <v>33464</v>
      </c>
      <c r="G12" s="236">
        <v>474</v>
      </c>
      <c r="H12" s="237">
        <v>10.0713945</v>
      </c>
    </row>
    <row r="13" spans="1:8" x14ac:dyDescent="0.2">
      <c r="A13" s="141">
        <v>9</v>
      </c>
      <c r="B13" s="236" t="s">
        <v>58</v>
      </c>
      <c r="C13" s="236">
        <v>1780845</v>
      </c>
      <c r="D13" s="236">
        <v>915401</v>
      </c>
      <c r="E13" s="236">
        <v>1641407</v>
      </c>
      <c r="F13" s="236">
        <v>1561278</v>
      </c>
      <c r="G13" s="236">
        <v>139297</v>
      </c>
      <c r="H13" s="237">
        <v>530.36227009400011</v>
      </c>
    </row>
    <row r="14" spans="1:8" x14ac:dyDescent="0.2">
      <c r="A14" s="141">
        <v>10</v>
      </c>
      <c r="B14" s="236" t="s">
        <v>64</v>
      </c>
      <c r="C14" s="236">
        <v>13600781</v>
      </c>
      <c r="D14" s="236">
        <v>7157604</v>
      </c>
      <c r="E14" s="236">
        <v>12799846</v>
      </c>
      <c r="F14" s="236">
        <v>10372609</v>
      </c>
      <c r="G14" s="236">
        <v>307933</v>
      </c>
      <c r="H14" s="237">
        <v>2582.5796721569995</v>
      </c>
    </row>
    <row r="15" spans="1:8" x14ac:dyDescent="0.2">
      <c r="A15" s="141">
        <v>11</v>
      </c>
      <c r="B15" s="236" t="s">
        <v>179</v>
      </c>
      <c r="C15" s="236">
        <v>666403</v>
      </c>
      <c r="D15" s="236">
        <v>322863</v>
      </c>
      <c r="E15" s="236">
        <v>333246</v>
      </c>
      <c r="F15" s="236">
        <v>554705</v>
      </c>
      <c r="G15" s="236">
        <v>67817</v>
      </c>
      <c r="H15" s="237">
        <v>206.57589948399996</v>
      </c>
    </row>
    <row r="16" spans="1:8" x14ac:dyDescent="0.2">
      <c r="A16" s="141">
        <v>12</v>
      </c>
      <c r="B16" s="236" t="s">
        <v>60</v>
      </c>
      <c r="C16" s="236">
        <v>1544420</v>
      </c>
      <c r="D16" s="236">
        <v>792904</v>
      </c>
      <c r="E16" s="236">
        <v>783137</v>
      </c>
      <c r="F16" s="236">
        <v>1352473</v>
      </c>
      <c r="G16" s="236">
        <v>225854</v>
      </c>
      <c r="H16" s="237">
        <v>469.48417396200017</v>
      </c>
    </row>
    <row r="17" spans="1:9" s="233" customFormat="1" x14ac:dyDescent="0.2">
      <c r="A17" s="227"/>
      <c r="B17" s="238" t="s">
        <v>1010</v>
      </c>
      <c r="C17" s="238">
        <f>SUM(C5:C16)</f>
        <v>29530774</v>
      </c>
      <c r="D17" s="238">
        <f t="shared" ref="D17:H17" si="0">SUM(D5:D16)</f>
        <v>15578928</v>
      </c>
      <c r="E17" s="238">
        <f t="shared" si="0"/>
        <v>24655570</v>
      </c>
      <c r="F17" s="238">
        <f t="shared" si="0"/>
        <v>24512788</v>
      </c>
      <c r="G17" s="238">
        <f t="shared" si="0"/>
        <v>1780365</v>
      </c>
      <c r="H17" s="239">
        <f t="shared" si="0"/>
        <v>7015.505490687</v>
      </c>
      <c r="I17" s="231"/>
    </row>
    <row r="18" spans="1:9" x14ac:dyDescent="0.2">
      <c r="A18" s="141">
        <v>13</v>
      </c>
      <c r="B18" s="236" t="s">
        <v>234</v>
      </c>
      <c r="C18" s="236">
        <v>44823</v>
      </c>
      <c r="D18" s="236">
        <v>16449</v>
      </c>
      <c r="E18" s="236">
        <v>34857</v>
      </c>
      <c r="F18" s="236">
        <v>35019</v>
      </c>
      <c r="G18" s="236">
        <v>10724</v>
      </c>
      <c r="H18" s="237">
        <v>19.775404298000005</v>
      </c>
    </row>
    <row r="19" spans="1:9" x14ac:dyDescent="0.2">
      <c r="A19" s="141">
        <v>14</v>
      </c>
      <c r="B19" s="236" t="s">
        <v>235</v>
      </c>
      <c r="C19" s="236">
        <v>344</v>
      </c>
      <c r="D19" s="236">
        <v>163</v>
      </c>
      <c r="E19" s="236">
        <v>235</v>
      </c>
      <c r="F19" s="236">
        <v>273</v>
      </c>
      <c r="G19" s="236">
        <v>52</v>
      </c>
      <c r="H19" s="237">
        <v>6.4718795999999995E-2</v>
      </c>
    </row>
    <row r="20" spans="1:9" x14ac:dyDescent="0.2">
      <c r="A20" s="141">
        <v>15</v>
      </c>
      <c r="B20" s="236" t="s">
        <v>236</v>
      </c>
      <c r="C20" s="236">
        <v>1354</v>
      </c>
      <c r="D20" s="236">
        <v>597</v>
      </c>
      <c r="E20" s="236">
        <v>631</v>
      </c>
      <c r="F20" s="236">
        <v>1053</v>
      </c>
      <c r="G20" s="236">
        <v>224</v>
      </c>
      <c r="H20" s="237">
        <v>0.88389345899999994</v>
      </c>
    </row>
    <row r="21" spans="1:9" x14ac:dyDescent="0.2">
      <c r="A21" s="141">
        <v>16</v>
      </c>
      <c r="B21" s="236" t="s">
        <v>237</v>
      </c>
      <c r="C21" s="236">
        <v>111399</v>
      </c>
      <c r="D21" s="236">
        <v>71533</v>
      </c>
      <c r="E21" s="236">
        <v>111385</v>
      </c>
      <c r="F21" s="236">
        <v>61614</v>
      </c>
      <c r="G21" s="236">
        <v>24000</v>
      </c>
      <c r="H21" s="237">
        <v>29.016565468000007</v>
      </c>
    </row>
    <row r="22" spans="1:9" x14ac:dyDescent="0.2">
      <c r="A22" s="141">
        <v>17</v>
      </c>
      <c r="B22" s="236" t="s">
        <v>238</v>
      </c>
      <c r="C22" s="236">
        <v>329337</v>
      </c>
      <c r="D22" s="236">
        <v>150074</v>
      </c>
      <c r="E22" s="236">
        <v>329337</v>
      </c>
      <c r="F22" s="236">
        <v>244511</v>
      </c>
      <c r="G22" s="236">
        <v>136239</v>
      </c>
      <c r="H22" s="237">
        <v>25.148095504</v>
      </c>
    </row>
    <row r="23" spans="1:9" x14ac:dyDescent="0.2">
      <c r="A23" s="141">
        <v>18</v>
      </c>
      <c r="B23" s="236" t="s">
        <v>223</v>
      </c>
      <c r="C23" s="236">
        <v>44602</v>
      </c>
      <c r="D23" s="236">
        <v>20217</v>
      </c>
      <c r="E23" s="236">
        <v>36178</v>
      </c>
      <c r="F23" s="236">
        <v>36076</v>
      </c>
      <c r="G23" s="236">
        <v>5132</v>
      </c>
      <c r="H23" s="237">
        <v>17.450387033000002</v>
      </c>
    </row>
    <row r="24" spans="1:9" x14ac:dyDescent="0.2">
      <c r="A24" s="141">
        <v>19</v>
      </c>
      <c r="B24" s="236" t="s">
        <v>239</v>
      </c>
      <c r="C24" s="236">
        <v>23197</v>
      </c>
      <c r="D24" s="236">
        <v>5974</v>
      </c>
      <c r="E24" s="236">
        <v>20023</v>
      </c>
      <c r="F24" s="236">
        <v>20103</v>
      </c>
      <c r="G24" s="236">
        <v>2879</v>
      </c>
      <c r="H24" s="237">
        <v>3.5048478109999999</v>
      </c>
    </row>
    <row r="25" spans="1:9" x14ac:dyDescent="0.2">
      <c r="A25" s="141">
        <v>20</v>
      </c>
      <c r="B25" s="236" t="s">
        <v>240</v>
      </c>
      <c r="C25" s="236">
        <v>138</v>
      </c>
      <c r="D25" s="236">
        <v>60</v>
      </c>
      <c r="E25" s="236">
        <v>118</v>
      </c>
      <c r="F25" s="236">
        <v>89</v>
      </c>
      <c r="G25" s="236">
        <v>14</v>
      </c>
      <c r="H25" s="237">
        <v>2.4704E-2</v>
      </c>
    </row>
    <row r="26" spans="1:9" x14ac:dyDescent="0.2">
      <c r="A26" s="141">
        <v>21</v>
      </c>
      <c r="B26" s="236" t="s">
        <v>87</v>
      </c>
      <c r="C26" s="236">
        <v>164</v>
      </c>
      <c r="D26" s="236">
        <v>73</v>
      </c>
      <c r="E26" s="236">
        <v>158</v>
      </c>
      <c r="F26" s="236">
        <v>135</v>
      </c>
      <c r="G26" s="236">
        <v>22</v>
      </c>
      <c r="H26" s="237">
        <v>2.2283476999999999E-2</v>
      </c>
    </row>
    <row r="27" spans="1:9" x14ac:dyDescent="0.2">
      <c r="A27" s="141">
        <v>22</v>
      </c>
      <c r="B27" s="236" t="s">
        <v>241</v>
      </c>
      <c r="C27" s="236">
        <v>6945</v>
      </c>
      <c r="D27" s="236">
        <v>2565</v>
      </c>
      <c r="E27" s="236">
        <v>438</v>
      </c>
      <c r="F27" s="236">
        <v>4564</v>
      </c>
      <c r="G27" s="236">
        <v>2610</v>
      </c>
      <c r="H27" s="237">
        <v>0.83683861700000006</v>
      </c>
    </row>
    <row r="28" spans="1:9" x14ac:dyDescent="0.2">
      <c r="A28" s="141">
        <v>23</v>
      </c>
      <c r="B28" s="236" t="s">
        <v>242</v>
      </c>
      <c r="C28" s="236">
        <v>515</v>
      </c>
      <c r="D28" s="236">
        <v>200</v>
      </c>
      <c r="E28" s="236">
        <v>391</v>
      </c>
      <c r="F28" s="236">
        <v>274</v>
      </c>
      <c r="G28" s="236">
        <v>51</v>
      </c>
      <c r="H28" s="237">
        <v>8.1170551000000007E-2</v>
      </c>
    </row>
    <row r="29" spans="1:9" x14ac:dyDescent="0.2">
      <c r="A29" s="141">
        <v>24</v>
      </c>
      <c r="B29" s="236" t="s">
        <v>243</v>
      </c>
      <c r="C29" s="236">
        <v>17524</v>
      </c>
      <c r="D29" s="236">
        <v>17519</v>
      </c>
      <c r="E29" s="236">
        <v>17524</v>
      </c>
      <c r="F29" s="236">
        <v>9812</v>
      </c>
      <c r="G29" s="236">
        <v>7</v>
      </c>
      <c r="H29" s="237">
        <v>2.6601652809999998</v>
      </c>
    </row>
    <row r="30" spans="1:9" x14ac:dyDescent="0.2">
      <c r="A30" s="141">
        <v>25</v>
      </c>
      <c r="B30" s="236" t="s">
        <v>244</v>
      </c>
      <c r="C30" s="236">
        <v>189</v>
      </c>
      <c r="D30" s="236">
        <v>78</v>
      </c>
      <c r="E30" s="236">
        <v>102</v>
      </c>
      <c r="F30" s="236">
        <v>166</v>
      </c>
      <c r="G30" s="236">
        <v>51</v>
      </c>
      <c r="H30" s="237">
        <v>4.6350026000000003E-2</v>
      </c>
    </row>
    <row r="31" spans="1:9" x14ac:dyDescent="0.2">
      <c r="A31" s="141">
        <v>26</v>
      </c>
      <c r="B31" s="236" t="s">
        <v>245</v>
      </c>
      <c r="C31" s="236">
        <v>848</v>
      </c>
      <c r="D31" s="236">
        <v>518</v>
      </c>
      <c r="E31" s="236">
        <v>796</v>
      </c>
      <c r="F31" s="236">
        <v>624</v>
      </c>
      <c r="G31" s="236">
        <v>216</v>
      </c>
      <c r="H31" s="237">
        <v>0.10564800100000001</v>
      </c>
    </row>
    <row r="32" spans="1:9" s="233" customFormat="1" x14ac:dyDescent="0.2">
      <c r="A32" s="227"/>
      <c r="B32" s="238" t="s">
        <v>1016</v>
      </c>
      <c r="C32" s="238">
        <f>SUM(C18:C31)</f>
        <v>581379</v>
      </c>
      <c r="D32" s="238">
        <f t="shared" ref="D32:H32" si="1">SUM(D18:D31)</f>
        <v>286020</v>
      </c>
      <c r="E32" s="238">
        <f t="shared" si="1"/>
        <v>552173</v>
      </c>
      <c r="F32" s="238">
        <f t="shared" si="1"/>
        <v>414313</v>
      </c>
      <c r="G32" s="238">
        <f t="shared" si="1"/>
        <v>182221</v>
      </c>
      <c r="H32" s="239">
        <f t="shared" si="1"/>
        <v>99.621072322000018</v>
      </c>
    </row>
    <row r="33" spans="1:8" x14ac:dyDescent="0.2">
      <c r="A33" s="141">
        <v>27</v>
      </c>
      <c r="B33" s="236" t="s">
        <v>1018</v>
      </c>
      <c r="C33" s="236">
        <v>3620472</v>
      </c>
      <c r="D33" s="236">
        <v>2052854</v>
      </c>
      <c r="E33" s="236">
        <v>3329296</v>
      </c>
      <c r="F33" s="236">
        <v>2964861</v>
      </c>
      <c r="G33" s="236">
        <v>476085</v>
      </c>
      <c r="H33" s="237">
        <v>739.07520395100005</v>
      </c>
    </row>
    <row r="34" spans="1:8" x14ac:dyDescent="0.2">
      <c r="A34" s="141">
        <v>28</v>
      </c>
      <c r="B34" s="236" t="s">
        <v>360</v>
      </c>
      <c r="C34" s="236">
        <v>1664391</v>
      </c>
      <c r="D34" s="236">
        <v>908177</v>
      </c>
      <c r="E34" s="236">
        <v>603833</v>
      </c>
      <c r="F34" s="236">
        <v>1555592</v>
      </c>
      <c r="G34" s="236">
        <v>323245</v>
      </c>
      <c r="H34" s="237">
        <v>403.18394470499993</v>
      </c>
    </row>
    <row r="35" spans="1:8" s="233" customFormat="1" x14ac:dyDescent="0.2">
      <c r="A35" s="227"/>
      <c r="B35" s="238" t="s">
        <v>1017</v>
      </c>
      <c r="C35" s="238">
        <f>C34+C33</f>
        <v>5284863</v>
      </c>
      <c r="D35" s="238">
        <f t="shared" ref="D35:H35" si="2">D34+D33</f>
        <v>2961031</v>
      </c>
      <c r="E35" s="238">
        <f t="shared" si="2"/>
        <v>3933129</v>
      </c>
      <c r="F35" s="238">
        <f t="shared" si="2"/>
        <v>4520453</v>
      </c>
      <c r="G35" s="238">
        <f t="shared" si="2"/>
        <v>799330</v>
      </c>
      <c r="H35" s="239">
        <f t="shared" si="2"/>
        <v>1142.259148656</v>
      </c>
    </row>
    <row r="36" spans="1:8" s="233" customFormat="1" x14ac:dyDescent="0.2">
      <c r="A36" s="227"/>
      <c r="B36" s="138" t="s">
        <v>210</v>
      </c>
      <c r="C36" s="138">
        <f>C35+C32+C17</f>
        <v>35397016</v>
      </c>
      <c r="D36" s="138">
        <f t="shared" ref="D36:H36" si="3">D35+D32+D17</f>
        <v>18825979</v>
      </c>
      <c r="E36" s="138">
        <f t="shared" si="3"/>
        <v>29140872</v>
      </c>
      <c r="F36" s="138">
        <f t="shared" si="3"/>
        <v>29447554</v>
      </c>
      <c r="G36" s="138">
        <f t="shared" si="3"/>
        <v>2761916</v>
      </c>
      <c r="H36" s="242">
        <f t="shared" si="3"/>
        <v>8257.3857116649997</v>
      </c>
    </row>
    <row r="37" spans="1:8" x14ac:dyDescent="0.2">
      <c r="D37" s="233" t="s">
        <v>448</v>
      </c>
    </row>
  </sheetData>
  <mergeCells count="1">
    <mergeCell ref="A1:H1"/>
  </mergeCells>
  <pageMargins left="1.2" right="0.4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2" tint="-0.499984740745262"/>
  </sheetPr>
  <dimension ref="A1:P60"/>
  <sheetViews>
    <sheetView zoomScale="125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5" sqref="P5"/>
    </sheetView>
  </sheetViews>
  <sheetFormatPr baseColWidth="10" defaultColWidth="9.19921875" defaultRowHeight="18" x14ac:dyDescent="0.2"/>
  <cols>
    <col min="1" max="1" width="4.796875" style="166" customWidth="1"/>
    <col min="2" max="2" width="27.3984375" style="158" customWidth="1"/>
    <col min="3" max="3" width="12.3984375" style="162" customWidth="1"/>
    <col min="4" max="4" width="12" style="162" customWidth="1"/>
    <col min="5" max="5" width="11.3984375" style="162" customWidth="1"/>
    <col min="6" max="6" width="11.3984375" style="163" customWidth="1"/>
    <col min="7" max="7" width="11.19921875" style="163" customWidth="1"/>
    <col min="8" max="8" width="11.796875" style="158" customWidth="1"/>
    <col min="9" max="9" width="11.19921875" style="158" customWidth="1"/>
    <col min="10" max="10" width="11.796875" style="158" customWidth="1"/>
    <col min="11" max="14" width="10.19921875" style="203" hidden="1" customWidth="1"/>
    <col min="15" max="16384" width="9.19921875" style="158"/>
  </cols>
  <sheetData>
    <row r="1" spans="1:16" ht="12.75" customHeight="1" x14ac:dyDescent="0.2">
      <c r="A1" s="396" t="s">
        <v>1055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6" x14ac:dyDescent="0.2">
      <c r="A2" s="398" t="s">
        <v>195</v>
      </c>
      <c r="B2" s="398"/>
      <c r="C2" s="398"/>
      <c r="D2" s="398"/>
      <c r="E2" s="398"/>
      <c r="F2" s="398"/>
      <c r="G2" s="398"/>
      <c r="H2" s="398"/>
      <c r="I2" s="398"/>
      <c r="J2" s="398"/>
    </row>
    <row r="3" spans="1:16" ht="14.25" customHeight="1" x14ac:dyDescent="0.2">
      <c r="A3" s="159"/>
      <c r="B3" s="160" t="s">
        <v>11</v>
      </c>
      <c r="C3" s="161"/>
      <c r="E3" s="161"/>
      <c r="H3" s="397" t="s">
        <v>175</v>
      </c>
      <c r="I3" s="397"/>
      <c r="J3" s="397"/>
    </row>
    <row r="4" spans="1:16" x14ac:dyDescent="0.2">
      <c r="A4" s="399" t="s">
        <v>194</v>
      </c>
      <c r="B4" s="399" t="s">
        <v>2</v>
      </c>
      <c r="C4" s="400" t="s">
        <v>13</v>
      </c>
      <c r="D4" s="400"/>
      <c r="E4" s="400" t="s">
        <v>8</v>
      </c>
      <c r="F4" s="400"/>
      <c r="G4" s="400"/>
      <c r="H4" s="399" t="s">
        <v>9</v>
      </c>
      <c r="I4" s="399"/>
      <c r="J4" s="399"/>
      <c r="K4" s="395"/>
      <c r="L4" s="395"/>
      <c r="M4" s="394" t="s">
        <v>276</v>
      </c>
      <c r="N4" s="394"/>
    </row>
    <row r="5" spans="1:16" ht="70" customHeight="1" x14ac:dyDescent="0.2">
      <c r="A5" s="399"/>
      <c r="B5" s="399"/>
      <c r="C5" s="383" t="s">
        <v>1053</v>
      </c>
      <c r="D5" s="383" t="s">
        <v>1054</v>
      </c>
      <c r="E5" s="383" t="s">
        <v>1053</v>
      </c>
      <c r="F5" s="383" t="s">
        <v>1054</v>
      </c>
      <c r="G5" s="383" t="s">
        <v>1097</v>
      </c>
      <c r="H5" s="383" t="s">
        <v>1053</v>
      </c>
      <c r="I5" s="383" t="s">
        <v>1054</v>
      </c>
      <c r="J5" s="383" t="s">
        <v>1095</v>
      </c>
      <c r="K5" s="264" t="s">
        <v>443</v>
      </c>
      <c r="L5" s="264" t="s">
        <v>444</v>
      </c>
      <c r="M5" s="264" t="s">
        <v>443</v>
      </c>
      <c r="N5" s="264" t="s">
        <v>444</v>
      </c>
    </row>
    <row r="6" spans="1:16" s="157" customFormat="1" ht="14" customHeight="1" x14ac:dyDescent="0.15">
      <c r="A6" s="190">
        <v>1</v>
      </c>
      <c r="B6" s="191" t="s">
        <v>51</v>
      </c>
      <c r="C6" s="193">
        <v>1988005</v>
      </c>
      <c r="D6" s="193">
        <v>2001243</v>
      </c>
      <c r="E6" s="193">
        <v>1572775</v>
      </c>
      <c r="F6" s="193">
        <v>1534364</v>
      </c>
      <c r="G6" s="192"/>
      <c r="H6" s="194">
        <f>E6*100/C6</f>
        <v>79.113231606560348</v>
      </c>
      <c r="I6" s="194">
        <f>F6*100/D6</f>
        <v>76.670549253638868</v>
      </c>
      <c r="J6" s="194">
        <f>(F6+G6)*100/D6</f>
        <v>76.670549253638868</v>
      </c>
      <c r="K6" s="203">
        <f>'CD Ratio_2'!C6+'CD Ratio_2'!D6+'CD Ratio_2'!E6</f>
        <v>2001243</v>
      </c>
      <c r="L6" s="203">
        <f>'CD Ratio_2'!F6+'CD Ratio_2'!G6+'CD Ratio_2'!H6</f>
        <v>1534364</v>
      </c>
      <c r="M6" s="203">
        <f>D6-K6</f>
        <v>0</v>
      </c>
      <c r="N6" s="203">
        <f>F6-L6</f>
        <v>0</v>
      </c>
      <c r="P6" s="175"/>
    </row>
    <row r="7" spans="1:16" s="157" customFormat="1" ht="14" customHeight="1" x14ac:dyDescent="0.2">
      <c r="A7" s="195">
        <v>2</v>
      </c>
      <c r="B7" s="196" t="s">
        <v>52</v>
      </c>
      <c r="C7" s="193">
        <v>3550010</v>
      </c>
      <c r="D7" s="193">
        <v>3624925</v>
      </c>
      <c r="E7" s="193">
        <v>2560255</v>
      </c>
      <c r="F7" s="193">
        <v>2623949</v>
      </c>
      <c r="G7" s="192"/>
      <c r="H7" s="194">
        <f t="shared" ref="H7:H59" si="0">E7*100/C7</f>
        <v>72.119656000969016</v>
      </c>
      <c r="I7" s="194">
        <f t="shared" ref="I7:I59" si="1">F7*100/D7</f>
        <v>72.386297647537532</v>
      </c>
      <c r="J7" s="194">
        <f t="shared" ref="J7:J59" si="2">(F7+G7)*100/D7</f>
        <v>72.386297647537532</v>
      </c>
      <c r="K7" s="203">
        <f>'CD Ratio_2'!C7+'CD Ratio_2'!D7+'CD Ratio_2'!E7</f>
        <v>3624925</v>
      </c>
      <c r="L7" s="203">
        <f>'CD Ratio_2'!F7+'CD Ratio_2'!G7+'CD Ratio_2'!H7</f>
        <v>2623949</v>
      </c>
      <c r="M7" s="203">
        <f t="shared" ref="M7:M59" si="3">D7-K7</f>
        <v>0</v>
      </c>
      <c r="N7" s="203">
        <f t="shared" ref="N7:N59" si="4">F7-L7</f>
        <v>0</v>
      </c>
      <c r="P7" s="175"/>
    </row>
    <row r="8" spans="1:16" s="157" customFormat="1" ht="14" customHeight="1" x14ac:dyDescent="0.2">
      <c r="A8" s="190">
        <v>3</v>
      </c>
      <c r="B8" s="196" t="s">
        <v>53</v>
      </c>
      <c r="C8" s="193">
        <v>752812.52</v>
      </c>
      <c r="D8" s="193">
        <v>760946.05</v>
      </c>
      <c r="E8" s="193">
        <v>372325.01</v>
      </c>
      <c r="F8" s="193">
        <v>543395.1</v>
      </c>
      <c r="G8" s="192"/>
      <c r="H8" s="194">
        <f t="shared" si="0"/>
        <v>49.457866348981547</v>
      </c>
      <c r="I8" s="194">
        <f t="shared" si="1"/>
        <v>71.410463330481832</v>
      </c>
      <c r="J8" s="194">
        <f t="shared" si="2"/>
        <v>71.410463330481832</v>
      </c>
      <c r="K8" s="203">
        <f>'CD Ratio_2'!C8+'CD Ratio_2'!D8+'CD Ratio_2'!E8</f>
        <v>760946.06</v>
      </c>
      <c r="L8" s="203">
        <f>'CD Ratio_2'!F8+'CD Ratio_2'!G8+'CD Ratio_2'!H8</f>
        <v>543395.1</v>
      </c>
      <c r="M8" s="203">
        <f t="shared" si="3"/>
        <v>-1.0000000009313226E-2</v>
      </c>
      <c r="N8" s="203">
        <f t="shared" si="4"/>
        <v>0</v>
      </c>
      <c r="P8" s="175"/>
    </row>
    <row r="9" spans="1:16" s="157" customFormat="1" ht="14" customHeight="1" x14ac:dyDescent="0.2">
      <c r="A9" s="195">
        <v>4</v>
      </c>
      <c r="B9" s="196" t="s">
        <v>54</v>
      </c>
      <c r="C9" s="193">
        <v>1606553</v>
      </c>
      <c r="D9" s="193">
        <v>1524937.7</v>
      </c>
      <c r="E9" s="193">
        <v>1454438</v>
      </c>
      <c r="F9" s="193">
        <v>1552237.2</v>
      </c>
      <c r="G9" s="192"/>
      <c r="H9" s="194">
        <f t="shared" si="0"/>
        <v>90.531591550356566</v>
      </c>
      <c r="I9" s="194">
        <f t="shared" si="1"/>
        <v>101.79020428178804</v>
      </c>
      <c r="J9" s="194">
        <f t="shared" si="2"/>
        <v>101.79020428178804</v>
      </c>
      <c r="K9" s="203">
        <f>'CD Ratio_2'!C9+'CD Ratio_2'!D9+'CD Ratio_2'!E9</f>
        <v>1524938</v>
      </c>
      <c r="L9" s="203">
        <f>'CD Ratio_2'!F9+'CD Ratio_2'!G9+'CD Ratio_2'!H9</f>
        <v>1552237</v>
      </c>
      <c r="M9" s="203">
        <f t="shared" si="3"/>
        <v>-0.30000000004656613</v>
      </c>
      <c r="N9" s="203">
        <f t="shared" si="4"/>
        <v>0.19999999995343387</v>
      </c>
      <c r="P9" s="175"/>
    </row>
    <row r="10" spans="1:16" s="157" customFormat="1" ht="14" customHeight="1" x14ac:dyDescent="0.2">
      <c r="A10" s="190">
        <v>5</v>
      </c>
      <c r="B10" s="196" t="s">
        <v>55</v>
      </c>
      <c r="C10" s="193">
        <v>3366114</v>
      </c>
      <c r="D10" s="193">
        <v>3464627</v>
      </c>
      <c r="E10" s="193">
        <v>1503970</v>
      </c>
      <c r="F10" s="193">
        <v>1441384</v>
      </c>
      <c r="G10" s="192"/>
      <c r="H10" s="194">
        <f t="shared" si="0"/>
        <v>44.679710788167007</v>
      </c>
      <c r="I10" s="194">
        <f t="shared" si="1"/>
        <v>41.602862299462537</v>
      </c>
      <c r="J10" s="194">
        <f t="shared" si="2"/>
        <v>41.602862299462537</v>
      </c>
      <c r="K10" s="203">
        <f>'CD Ratio_2'!C10+'CD Ratio_2'!D10+'CD Ratio_2'!E10</f>
        <v>3464627</v>
      </c>
      <c r="L10" s="203">
        <f>'CD Ratio_2'!F10+'CD Ratio_2'!G10+'CD Ratio_2'!H10</f>
        <v>1441384</v>
      </c>
      <c r="M10" s="203">
        <f t="shared" si="3"/>
        <v>0</v>
      </c>
      <c r="N10" s="203">
        <f t="shared" si="4"/>
        <v>0</v>
      </c>
      <c r="P10" s="175"/>
    </row>
    <row r="11" spans="1:16" s="157" customFormat="1" ht="14" customHeight="1" x14ac:dyDescent="0.2">
      <c r="A11" s="195">
        <v>6</v>
      </c>
      <c r="B11" s="196" t="s">
        <v>56</v>
      </c>
      <c r="C11" s="193">
        <v>1643341</v>
      </c>
      <c r="D11" s="193">
        <v>1659565</v>
      </c>
      <c r="E11" s="193">
        <v>1041585</v>
      </c>
      <c r="F11" s="193">
        <v>1090830</v>
      </c>
      <c r="G11" s="192"/>
      <c r="H11" s="194">
        <f t="shared" si="0"/>
        <v>63.382158663357146</v>
      </c>
      <c r="I11" s="194">
        <f t="shared" si="1"/>
        <v>65.729874997363765</v>
      </c>
      <c r="J11" s="194">
        <f t="shared" si="2"/>
        <v>65.729874997363765</v>
      </c>
      <c r="K11" s="203">
        <f>'CD Ratio_2'!C11+'CD Ratio_2'!D11+'CD Ratio_2'!E11</f>
        <v>1659565</v>
      </c>
      <c r="L11" s="203">
        <f>'CD Ratio_2'!F11+'CD Ratio_2'!G11+'CD Ratio_2'!H11</f>
        <v>1090830</v>
      </c>
      <c r="M11" s="203">
        <f t="shared" si="3"/>
        <v>0</v>
      </c>
      <c r="N11" s="203">
        <f t="shared" si="4"/>
        <v>0</v>
      </c>
      <c r="P11" s="175"/>
    </row>
    <row r="12" spans="1:16" s="157" customFormat="1" ht="14" customHeight="1" x14ac:dyDescent="0.2">
      <c r="A12" s="190">
        <v>7</v>
      </c>
      <c r="B12" s="196" t="s">
        <v>57</v>
      </c>
      <c r="C12" s="193">
        <v>186749.46</v>
      </c>
      <c r="D12" s="193">
        <v>187704</v>
      </c>
      <c r="E12" s="193">
        <v>114986.18</v>
      </c>
      <c r="F12" s="193">
        <v>107019</v>
      </c>
      <c r="G12" s="192"/>
      <c r="H12" s="194">
        <f t="shared" si="0"/>
        <v>61.57242971412073</v>
      </c>
      <c r="I12" s="194">
        <f t="shared" si="1"/>
        <v>57.014767932489448</v>
      </c>
      <c r="J12" s="194">
        <f t="shared" si="2"/>
        <v>57.014767932489448</v>
      </c>
      <c r="K12" s="203">
        <f>'CD Ratio_2'!C12+'CD Ratio_2'!D12+'CD Ratio_2'!E12</f>
        <v>187704</v>
      </c>
      <c r="L12" s="203">
        <f>'CD Ratio_2'!F12+'CD Ratio_2'!G12+'CD Ratio_2'!H12</f>
        <v>107019</v>
      </c>
      <c r="M12" s="203">
        <f t="shared" si="3"/>
        <v>0</v>
      </c>
      <c r="N12" s="203">
        <f t="shared" si="4"/>
        <v>0</v>
      </c>
      <c r="P12" s="175"/>
    </row>
    <row r="13" spans="1:16" s="157" customFormat="1" ht="14" customHeight="1" x14ac:dyDescent="0.2">
      <c r="A13" s="195">
        <v>8</v>
      </c>
      <c r="B13" s="196" t="s">
        <v>178</v>
      </c>
      <c r="C13" s="193">
        <v>190477</v>
      </c>
      <c r="D13" s="193">
        <v>177849</v>
      </c>
      <c r="E13" s="193">
        <v>89909</v>
      </c>
      <c r="F13" s="193">
        <v>95132</v>
      </c>
      <c r="G13" s="192"/>
      <c r="H13" s="194">
        <f t="shared" si="0"/>
        <v>47.202024391396336</v>
      </c>
      <c r="I13" s="194">
        <f t="shared" si="1"/>
        <v>53.490320440373573</v>
      </c>
      <c r="J13" s="194">
        <f t="shared" si="2"/>
        <v>53.490320440373573</v>
      </c>
      <c r="K13" s="203">
        <f>'CD Ratio_2'!C13+'CD Ratio_2'!D13+'CD Ratio_2'!E13</f>
        <v>177849</v>
      </c>
      <c r="L13" s="203">
        <f>'CD Ratio_2'!F13+'CD Ratio_2'!G13+'CD Ratio_2'!H13</f>
        <v>95132</v>
      </c>
      <c r="M13" s="203">
        <f t="shared" si="3"/>
        <v>0</v>
      </c>
      <c r="N13" s="203">
        <f t="shared" si="4"/>
        <v>0</v>
      </c>
      <c r="P13" s="175"/>
    </row>
    <row r="14" spans="1:16" s="157" customFormat="1" ht="14" customHeight="1" x14ac:dyDescent="0.2">
      <c r="A14" s="190">
        <v>9</v>
      </c>
      <c r="B14" s="196" t="s">
        <v>58</v>
      </c>
      <c r="C14" s="193">
        <v>3625380</v>
      </c>
      <c r="D14" s="193">
        <v>3397658</v>
      </c>
      <c r="E14" s="193">
        <v>2170413</v>
      </c>
      <c r="F14" s="193">
        <v>2491903</v>
      </c>
      <c r="G14" s="192"/>
      <c r="H14" s="194">
        <f t="shared" si="0"/>
        <v>59.867186336328878</v>
      </c>
      <c r="I14" s="194">
        <f t="shared" si="1"/>
        <v>73.341784252564565</v>
      </c>
      <c r="J14" s="194">
        <f t="shared" si="2"/>
        <v>73.341784252564565</v>
      </c>
      <c r="K14" s="203">
        <f>'CD Ratio_2'!C14+'CD Ratio_2'!D14+'CD Ratio_2'!E14</f>
        <v>3397658</v>
      </c>
      <c r="L14" s="203">
        <f>'CD Ratio_2'!F14+'CD Ratio_2'!G14+'CD Ratio_2'!H14</f>
        <v>2491903</v>
      </c>
      <c r="M14" s="203">
        <f t="shared" si="3"/>
        <v>0</v>
      </c>
      <c r="N14" s="203">
        <f t="shared" si="4"/>
        <v>0</v>
      </c>
      <c r="P14" s="175"/>
    </row>
    <row r="15" spans="1:16" s="157" customFormat="1" ht="14" customHeight="1" x14ac:dyDescent="0.2">
      <c r="A15" s="195">
        <v>10</v>
      </c>
      <c r="B15" s="196" t="s">
        <v>64</v>
      </c>
      <c r="C15" s="193">
        <v>14866493</v>
      </c>
      <c r="D15" s="193">
        <v>15404827</v>
      </c>
      <c r="E15" s="193">
        <v>7527661</v>
      </c>
      <c r="F15" s="193">
        <v>7112197</v>
      </c>
      <c r="G15" s="193">
        <v>383204</v>
      </c>
      <c r="H15" s="194">
        <f t="shared" si="0"/>
        <v>50.635082530896831</v>
      </c>
      <c r="I15" s="194">
        <f t="shared" si="1"/>
        <v>46.168626236438747</v>
      </c>
      <c r="J15" s="194">
        <f t="shared" si="2"/>
        <v>48.65618419473325</v>
      </c>
      <c r="K15" s="203">
        <f>'CD Ratio_2'!C15+'CD Ratio_2'!D15+'CD Ratio_2'!E15</f>
        <v>15404827</v>
      </c>
      <c r="L15" s="203">
        <f>'CD Ratio_2'!F15+'CD Ratio_2'!G15+'CD Ratio_2'!H15</f>
        <v>7112197</v>
      </c>
      <c r="M15" s="203">
        <f t="shared" si="3"/>
        <v>0</v>
      </c>
      <c r="N15" s="203">
        <f t="shared" si="4"/>
        <v>0</v>
      </c>
      <c r="P15" s="175"/>
    </row>
    <row r="16" spans="1:16" s="157" customFormat="1" ht="14" customHeight="1" x14ac:dyDescent="0.2">
      <c r="A16" s="190">
        <v>11</v>
      </c>
      <c r="B16" s="196" t="s">
        <v>179</v>
      </c>
      <c r="C16" s="193">
        <v>834982</v>
      </c>
      <c r="D16" s="193">
        <v>848446</v>
      </c>
      <c r="E16" s="193">
        <v>460983</v>
      </c>
      <c r="F16" s="193">
        <v>594083</v>
      </c>
      <c r="G16" s="192"/>
      <c r="H16" s="194">
        <f t="shared" si="0"/>
        <v>55.208735038599634</v>
      </c>
      <c r="I16" s="194">
        <f t="shared" si="1"/>
        <v>70.020130921708628</v>
      </c>
      <c r="J16" s="194">
        <f t="shared" si="2"/>
        <v>70.020130921708628</v>
      </c>
      <c r="K16" s="203">
        <f>'CD Ratio_2'!C16+'CD Ratio_2'!D16+'CD Ratio_2'!E16</f>
        <v>848446</v>
      </c>
      <c r="L16" s="203">
        <f>'CD Ratio_2'!F16+'CD Ratio_2'!G16+'CD Ratio_2'!H16</f>
        <v>594083</v>
      </c>
      <c r="M16" s="203">
        <f t="shared" si="3"/>
        <v>0</v>
      </c>
      <c r="N16" s="203">
        <f t="shared" si="4"/>
        <v>0</v>
      </c>
      <c r="P16" s="175"/>
    </row>
    <row r="17" spans="1:16" s="157" customFormat="1" ht="14" customHeight="1" x14ac:dyDescent="0.15">
      <c r="A17" s="195">
        <v>12</v>
      </c>
      <c r="B17" s="196" t="s">
        <v>60</v>
      </c>
      <c r="C17" s="193">
        <v>3324880</v>
      </c>
      <c r="D17" s="193">
        <v>3383564</v>
      </c>
      <c r="E17" s="193">
        <v>2019578</v>
      </c>
      <c r="F17" s="193">
        <v>1619932</v>
      </c>
      <c r="G17" s="224">
        <v>580047</v>
      </c>
      <c r="H17" s="194">
        <f t="shared" si="0"/>
        <v>60.741380140035126</v>
      </c>
      <c r="I17" s="194">
        <f t="shared" si="1"/>
        <v>47.876499454421435</v>
      </c>
      <c r="J17" s="194">
        <f t="shared" si="2"/>
        <v>65.019576990416027</v>
      </c>
      <c r="K17" s="203">
        <f>'CD Ratio_2'!C17+'CD Ratio_2'!D17+'CD Ratio_2'!E17</f>
        <v>3383564</v>
      </c>
      <c r="L17" s="203">
        <f>'CD Ratio_2'!F17+'CD Ratio_2'!G17+'CD Ratio_2'!H17</f>
        <v>1619932</v>
      </c>
      <c r="M17" s="203">
        <f t="shared" si="3"/>
        <v>0</v>
      </c>
      <c r="N17" s="203">
        <f t="shared" si="4"/>
        <v>0</v>
      </c>
      <c r="P17" s="175"/>
    </row>
    <row r="18" spans="1:16" s="164" customFormat="1" ht="14" customHeight="1" x14ac:dyDescent="0.2">
      <c r="A18" s="198"/>
      <c r="B18" s="199" t="s">
        <v>215</v>
      </c>
      <c r="C18" s="200">
        <f>SUM(C6:C17)</f>
        <v>35935796.980000004</v>
      </c>
      <c r="D18" s="200">
        <f t="shared" ref="D18:G18" si="5">SUM(D6:D17)</f>
        <v>36436291.75</v>
      </c>
      <c r="E18" s="200">
        <f t="shared" si="5"/>
        <v>20888878.189999998</v>
      </c>
      <c r="F18" s="200">
        <f t="shared" si="5"/>
        <v>20806425.300000001</v>
      </c>
      <c r="G18" s="200">
        <f t="shared" si="5"/>
        <v>963251</v>
      </c>
      <c r="H18" s="201">
        <f t="shared" si="0"/>
        <v>58.128328701393933</v>
      </c>
      <c r="I18" s="201">
        <f t="shared" si="1"/>
        <v>57.103575311008427</v>
      </c>
      <c r="J18" s="201">
        <f t="shared" si="2"/>
        <v>59.747233470870427</v>
      </c>
      <c r="K18" s="203">
        <f>'CD Ratio_2'!C18+'CD Ratio_2'!D18+'CD Ratio_2'!E18</f>
        <v>36436292.059999995</v>
      </c>
      <c r="L18" s="203">
        <f>'CD Ratio_2'!F18+'CD Ratio_2'!G18+'CD Ratio_2'!H18</f>
        <v>20806425.100000001</v>
      </c>
      <c r="M18" s="203">
        <f t="shared" si="3"/>
        <v>-0.30999999493360519</v>
      </c>
      <c r="N18" s="203">
        <f t="shared" si="4"/>
        <v>0.19999999925494194</v>
      </c>
      <c r="P18" s="280"/>
    </row>
    <row r="19" spans="1:16" s="157" customFormat="1" ht="14" customHeight="1" x14ac:dyDescent="0.2">
      <c r="A19" s="195">
        <v>13</v>
      </c>
      <c r="B19" s="196" t="s">
        <v>41</v>
      </c>
      <c r="C19" s="193">
        <v>1372332</v>
      </c>
      <c r="D19" s="193">
        <v>1358523.45</v>
      </c>
      <c r="E19" s="193">
        <v>1209048.73</v>
      </c>
      <c r="F19" s="193">
        <v>1193972.8899999999</v>
      </c>
      <c r="G19" s="193">
        <v>50531</v>
      </c>
      <c r="H19" s="194">
        <f t="shared" si="0"/>
        <v>88.101766190688551</v>
      </c>
      <c r="I19" s="194">
        <f t="shared" si="1"/>
        <v>87.887543641591165</v>
      </c>
      <c r="J19" s="194">
        <f t="shared" si="2"/>
        <v>91.607096660716451</v>
      </c>
      <c r="K19" s="203">
        <f>'CD Ratio_2'!C19+'CD Ratio_2'!D19+'CD Ratio_2'!E19</f>
        <v>1358523.45</v>
      </c>
      <c r="L19" s="203">
        <f>'CD Ratio_2'!F19+'CD Ratio_2'!G19+'CD Ratio_2'!H19</f>
        <v>1193972.8799999999</v>
      </c>
      <c r="M19" s="203">
        <f t="shared" si="3"/>
        <v>0</v>
      </c>
      <c r="N19" s="203">
        <f t="shared" si="4"/>
        <v>1.0000000009313226E-2</v>
      </c>
      <c r="P19" s="175"/>
    </row>
    <row r="20" spans="1:16" s="157" customFormat="1" ht="14" customHeight="1" x14ac:dyDescent="0.2">
      <c r="A20" s="190">
        <v>14</v>
      </c>
      <c r="B20" s="196" t="s">
        <v>180</v>
      </c>
      <c r="C20" s="193">
        <v>137270.56</v>
      </c>
      <c r="D20" s="193">
        <v>130379.66</v>
      </c>
      <c r="E20" s="193">
        <v>667586.22</v>
      </c>
      <c r="F20" s="193">
        <v>642877.21</v>
      </c>
      <c r="G20" s="192"/>
      <c r="H20" s="194">
        <f t="shared" si="0"/>
        <v>486.32876561441873</v>
      </c>
      <c r="I20" s="194">
        <f t="shared" si="1"/>
        <v>493.08090694514772</v>
      </c>
      <c r="J20" s="194">
        <f t="shared" si="2"/>
        <v>493.08090694514772</v>
      </c>
      <c r="K20" s="203">
        <f>'CD Ratio_2'!C20+'CD Ratio_2'!D20+'CD Ratio_2'!E20</f>
        <v>130379.66</v>
      </c>
      <c r="L20" s="203">
        <f>'CD Ratio_2'!F20+'CD Ratio_2'!G20+'CD Ratio_2'!H20</f>
        <v>642877.21</v>
      </c>
      <c r="M20" s="203">
        <f t="shared" si="3"/>
        <v>0</v>
      </c>
      <c r="N20" s="203">
        <f t="shared" si="4"/>
        <v>0</v>
      </c>
      <c r="P20" s="175"/>
    </row>
    <row r="21" spans="1:16" s="157" customFormat="1" ht="14" customHeight="1" x14ac:dyDescent="0.2">
      <c r="A21" s="195">
        <v>15</v>
      </c>
      <c r="B21" s="196" t="s">
        <v>181</v>
      </c>
      <c r="C21" s="193">
        <v>5543.43</v>
      </c>
      <c r="D21" s="193">
        <v>5177</v>
      </c>
      <c r="E21" s="193">
        <v>2198.21</v>
      </c>
      <c r="F21" s="193">
        <v>1879</v>
      </c>
      <c r="G21" s="192"/>
      <c r="H21" s="194">
        <f t="shared" si="0"/>
        <v>39.654329539653247</v>
      </c>
      <c r="I21" s="194">
        <f t="shared" si="1"/>
        <v>36.295151632219429</v>
      </c>
      <c r="J21" s="194">
        <f t="shared" si="2"/>
        <v>36.295151632219429</v>
      </c>
      <c r="K21" s="203">
        <f>'CD Ratio_2'!C21+'CD Ratio_2'!D21+'CD Ratio_2'!E21</f>
        <v>5177</v>
      </c>
      <c r="L21" s="203">
        <f>'CD Ratio_2'!F21+'CD Ratio_2'!G21+'CD Ratio_2'!H21</f>
        <v>1879</v>
      </c>
      <c r="M21" s="203">
        <f t="shared" si="3"/>
        <v>0</v>
      </c>
      <c r="N21" s="203">
        <f t="shared" si="4"/>
        <v>0</v>
      </c>
      <c r="P21" s="175"/>
    </row>
    <row r="22" spans="1:16" s="157" customFormat="1" ht="14" customHeight="1" x14ac:dyDescent="0.2">
      <c r="A22" s="190">
        <v>16</v>
      </c>
      <c r="B22" s="196" t="s">
        <v>45</v>
      </c>
      <c r="C22" s="193">
        <v>7039.56</v>
      </c>
      <c r="D22" s="193">
        <v>6010.7</v>
      </c>
      <c r="E22" s="193">
        <v>12328.13</v>
      </c>
      <c r="F22" s="193">
        <v>12387.94</v>
      </c>
      <c r="G22" s="192"/>
      <c r="H22" s="194">
        <f t="shared" si="0"/>
        <v>175.12642835631772</v>
      </c>
      <c r="I22" s="194">
        <f t="shared" si="1"/>
        <v>206.09812501039812</v>
      </c>
      <c r="J22" s="194">
        <f t="shared" si="2"/>
        <v>206.09812501039812</v>
      </c>
      <c r="K22" s="203">
        <f>'CD Ratio_2'!C22+'CD Ratio_2'!D22+'CD Ratio_2'!E22</f>
        <v>6010.7000000000007</v>
      </c>
      <c r="L22" s="203">
        <f>'CD Ratio_2'!F22+'CD Ratio_2'!G22+'CD Ratio_2'!H22</f>
        <v>12387.94</v>
      </c>
      <c r="M22" s="203">
        <f t="shared" si="3"/>
        <v>0</v>
      </c>
      <c r="N22" s="203">
        <f t="shared" si="4"/>
        <v>0</v>
      </c>
      <c r="P22" s="175"/>
    </row>
    <row r="23" spans="1:16" s="157" customFormat="1" ht="14" customHeight="1" x14ac:dyDescent="0.2">
      <c r="A23" s="195">
        <v>17</v>
      </c>
      <c r="B23" s="196" t="s">
        <v>182</v>
      </c>
      <c r="C23" s="193">
        <v>35452</v>
      </c>
      <c r="D23" s="193">
        <v>35701</v>
      </c>
      <c r="E23" s="193">
        <v>110722</v>
      </c>
      <c r="F23" s="193">
        <v>107611</v>
      </c>
      <c r="G23" s="192"/>
      <c r="H23" s="194">
        <f t="shared" si="0"/>
        <v>312.31524314566173</v>
      </c>
      <c r="I23" s="194">
        <f t="shared" si="1"/>
        <v>301.42292932971066</v>
      </c>
      <c r="J23" s="194">
        <f t="shared" si="2"/>
        <v>301.42292932971066</v>
      </c>
      <c r="K23" s="203">
        <f>'CD Ratio_2'!C23+'CD Ratio_2'!D23+'CD Ratio_2'!E23</f>
        <v>35701</v>
      </c>
      <c r="L23" s="203">
        <f>'CD Ratio_2'!F23+'CD Ratio_2'!G23+'CD Ratio_2'!H23</f>
        <v>107611</v>
      </c>
      <c r="M23" s="203">
        <f t="shared" si="3"/>
        <v>0</v>
      </c>
      <c r="N23" s="203">
        <f t="shared" si="4"/>
        <v>0</v>
      </c>
      <c r="P23" s="175"/>
    </row>
    <row r="24" spans="1:16" s="157" customFormat="1" ht="14" customHeight="1" x14ac:dyDescent="0.2">
      <c r="A24" s="195">
        <v>18</v>
      </c>
      <c r="B24" s="15" t="s">
        <v>183</v>
      </c>
      <c r="C24" s="197">
        <v>2700</v>
      </c>
      <c r="D24" s="193">
        <v>2635</v>
      </c>
      <c r="E24" s="197">
        <v>448</v>
      </c>
      <c r="F24" s="193">
        <v>524</v>
      </c>
      <c r="G24" s="192"/>
      <c r="H24" s="194">
        <f t="shared" si="0"/>
        <v>16.592592592592592</v>
      </c>
      <c r="I24" s="194">
        <f t="shared" si="1"/>
        <v>19.886148007590133</v>
      </c>
      <c r="J24" s="194">
        <f t="shared" si="2"/>
        <v>19.886148007590133</v>
      </c>
      <c r="K24" s="203">
        <f>'CD Ratio_2'!C24+'CD Ratio_2'!D24+'CD Ratio_2'!E24</f>
        <v>2635</v>
      </c>
      <c r="L24" s="203">
        <f>'CD Ratio_2'!F24+'CD Ratio_2'!G24+'CD Ratio_2'!H24</f>
        <v>524</v>
      </c>
      <c r="M24" s="203">
        <f t="shared" si="3"/>
        <v>0</v>
      </c>
      <c r="N24" s="203">
        <f t="shared" si="4"/>
        <v>0</v>
      </c>
      <c r="P24" s="175"/>
    </row>
    <row r="25" spans="1:16" s="157" customFormat="1" ht="14" customHeight="1" x14ac:dyDescent="0.2">
      <c r="A25" s="190">
        <v>19</v>
      </c>
      <c r="B25" s="196" t="s">
        <v>184</v>
      </c>
      <c r="C25" s="193">
        <v>88242</v>
      </c>
      <c r="D25" s="193">
        <v>79745</v>
      </c>
      <c r="E25" s="193">
        <v>60421</v>
      </c>
      <c r="F25" s="193">
        <v>46874</v>
      </c>
      <c r="G25" s="192"/>
      <c r="H25" s="194">
        <f t="shared" si="0"/>
        <v>68.471929466693865</v>
      </c>
      <c r="I25" s="194">
        <f t="shared" si="1"/>
        <v>58.779860806320144</v>
      </c>
      <c r="J25" s="194">
        <f t="shared" si="2"/>
        <v>58.779860806320144</v>
      </c>
      <c r="K25" s="203">
        <f>'CD Ratio_2'!C25+'CD Ratio_2'!D25+'CD Ratio_2'!E25</f>
        <v>79745</v>
      </c>
      <c r="L25" s="203">
        <f>'CD Ratio_2'!F25+'CD Ratio_2'!G25+'CD Ratio_2'!H25</f>
        <v>46874</v>
      </c>
      <c r="M25" s="203">
        <f t="shared" si="3"/>
        <v>0</v>
      </c>
      <c r="N25" s="203">
        <f t="shared" si="4"/>
        <v>0</v>
      </c>
      <c r="P25" s="175"/>
    </row>
    <row r="26" spans="1:16" s="157" customFormat="1" ht="14" customHeight="1" x14ac:dyDescent="0.2">
      <c r="A26" s="195">
        <v>20</v>
      </c>
      <c r="B26" s="196" t="s">
        <v>65</v>
      </c>
      <c r="C26" s="193">
        <v>1831550.7</v>
      </c>
      <c r="D26" s="193">
        <v>1938307.04</v>
      </c>
      <c r="E26" s="193">
        <v>2489899.6800000002</v>
      </c>
      <c r="F26" s="193">
        <v>2418507.23</v>
      </c>
      <c r="G26" s="192"/>
      <c r="H26" s="194">
        <f t="shared" si="0"/>
        <v>135.9448952191168</v>
      </c>
      <c r="I26" s="194">
        <f t="shared" si="1"/>
        <v>124.77420656739709</v>
      </c>
      <c r="J26" s="194">
        <f t="shared" si="2"/>
        <v>124.77420656739709</v>
      </c>
      <c r="K26" s="203">
        <f>'CD Ratio_2'!C26+'CD Ratio_2'!D26+'CD Ratio_2'!E26</f>
        <v>1938307.05</v>
      </c>
      <c r="L26" s="203">
        <f>'CD Ratio_2'!F26+'CD Ratio_2'!G26+'CD Ratio_2'!H26</f>
        <v>2418507.23</v>
      </c>
      <c r="M26" s="203">
        <f t="shared" si="3"/>
        <v>-1.0000000009313226E-2</v>
      </c>
      <c r="N26" s="203">
        <f t="shared" si="4"/>
        <v>0</v>
      </c>
      <c r="P26" s="175"/>
    </row>
    <row r="27" spans="1:16" s="157" customFormat="1" ht="14" customHeight="1" x14ac:dyDescent="0.2">
      <c r="A27" s="190">
        <v>21</v>
      </c>
      <c r="B27" s="196" t="s">
        <v>66</v>
      </c>
      <c r="C27" s="193">
        <v>1577232</v>
      </c>
      <c r="D27" s="193">
        <v>1604918</v>
      </c>
      <c r="E27" s="193">
        <v>2270277</v>
      </c>
      <c r="F27" s="193">
        <v>2268911</v>
      </c>
      <c r="G27" s="192"/>
      <c r="H27" s="194">
        <f t="shared" si="0"/>
        <v>143.94058705377523</v>
      </c>
      <c r="I27" s="194">
        <f t="shared" si="1"/>
        <v>141.37239410362398</v>
      </c>
      <c r="J27" s="194">
        <f t="shared" si="2"/>
        <v>141.37239410362398</v>
      </c>
      <c r="K27" s="203">
        <f>'CD Ratio_2'!C27+'CD Ratio_2'!D27+'CD Ratio_2'!E27</f>
        <v>1604918</v>
      </c>
      <c r="L27" s="203">
        <f>'CD Ratio_2'!F27+'CD Ratio_2'!G27+'CD Ratio_2'!H27</f>
        <v>2268911</v>
      </c>
      <c r="M27" s="203">
        <f t="shared" si="3"/>
        <v>0</v>
      </c>
      <c r="N27" s="203">
        <f t="shared" si="4"/>
        <v>0</v>
      </c>
      <c r="P27" s="175"/>
    </row>
    <row r="28" spans="1:16" s="157" customFormat="1" ht="14" customHeight="1" x14ac:dyDescent="0.2">
      <c r="A28" s="195">
        <v>22</v>
      </c>
      <c r="B28" s="196" t="s">
        <v>75</v>
      </c>
      <c r="C28" s="197">
        <v>802112.01016760012</v>
      </c>
      <c r="D28" s="193">
        <v>748566</v>
      </c>
      <c r="E28" s="193">
        <v>326838</v>
      </c>
      <c r="F28" s="193">
        <v>282359</v>
      </c>
      <c r="G28" s="192"/>
      <c r="H28" s="194">
        <f t="shared" si="0"/>
        <v>40.747176935015311</v>
      </c>
      <c r="I28" s="194">
        <f t="shared" si="1"/>
        <v>37.719987282350523</v>
      </c>
      <c r="J28" s="194">
        <f t="shared" si="2"/>
        <v>37.719987282350523</v>
      </c>
      <c r="K28" s="203">
        <f>'CD Ratio_2'!C28+'CD Ratio_2'!D28+'CD Ratio_2'!E28</f>
        <v>748566</v>
      </c>
      <c r="L28" s="203">
        <f>'CD Ratio_2'!F28+'CD Ratio_2'!G28+'CD Ratio_2'!H28</f>
        <v>282359</v>
      </c>
      <c r="M28" s="203">
        <f t="shared" si="3"/>
        <v>0</v>
      </c>
      <c r="N28" s="203">
        <f t="shared" si="4"/>
        <v>0</v>
      </c>
      <c r="P28" s="175"/>
    </row>
    <row r="29" spans="1:16" s="157" customFormat="1" ht="14" customHeight="1" x14ac:dyDescent="0.2">
      <c r="A29" s="190">
        <v>23</v>
      </c>
      <c r="B29" s="196" t="s">
        <v>379</v>
      </c>
      <c r="C29" s="193">
        <v>156928</v>
      </c>
      <c r="D29" s="193">
        <v>164033</v>
      </c>
      <c r="E29" s="193">
        <v>350476</v>
      </c>
      <c r="F29" s="193">
        <v>329410</v>
      </c>
      <c r="G29" s="192"/>
      <c r="H29" s="194">
        <f t="shared" si="0"/>
        <v>223.33554241435561</v>
      </c>
      <c r="I29" s="194">
        <f t="shared" si="1"/>
        <v>200.8193473264526</v>
      </c>
      <c r="J29" s="194">
        <f t="shared" si="2"/>
        <v>200.8193473264526</v>
      </c>
      <c r="K29" s="203">
        <f>'CD Ratio_2'!C29+'CD Ratio_2'!D29+'CD Ratio_2'!E29</f>
        <v>164033</v>
      </c>
      <c r="L29" s="203">
        <f>'CD Ratio_2'!F29+'CD Ratio_2'!G29+'CD Ratio_2'!H29</f>
        <v>329410</v>
      </c>
      <c r="M29" s="203">
        <f t="shared" si="3"/>
        <v>0</v>
      </c>
      <c r="N29" s="203">
        <f t="shared" si="4"/>
        <v>0</v>
      </c>
      <c r="P29" s="175"/>
    </row>
    <row r="30" spans="1:16" s="157" customFormat="1" ht="14" customHeight="1" x14ac:dyDescent="0.2">
      <c r="A30" s="195">
        <v>24</v>
      </c>
      <c r="B30" s="196" t="s">
        <v>185</v>
      </c>
      <c r="C30" s="193">
        <v>351110</v>
      </c>
      <c r="D30" s="193">
        <v>394234</v>
      </c>
      <c r="E30" s="193">
        <v>620122</v>
      </c>
      <c r="F30" s="193">
        <v>594251</v>
      </c>
      <c r="G30" s="192"/>
      <c r="H30" s="194">
        <f t="shared" si="0"/>
        <v>176.6175842328615</v>
      </c>
      <c r="I30" s="194">
        <f t="shared" si="1"/>
        <v>150.73560372773531</v>
      </c>
      <c r="J30" s="194">
        <f t="shared" si="2"/>
        <v>150.73560372773531</v>
      </c>
      <c r="K30" s="203">
        <f>'CD Ratio_2'!C30+'CD Ratio_2'!D30+'CD Ratio_2'!E30</f>
        <v>394234</v>
      </c>
      <c r="L30" s="203">
        <f>'CD Ratio_2'!F30+'CD Ratio_2'!G30+'CD Ratio_2'!H30</f>
        <v>594251</v>
      </c>
      <c r="M30" s="203">
        <f t="shared" si="3"/>
        <v>0</v>
      </c>
      <c r="N30" s="203">
        <f t="shared" si="4"/>
        <v>0</v>
      </c>
      <c r="P30" s="175"/>
    </row>
    <row r="31" spans="1:16" s="157" customFormat="1" ht="14" customHeight="1" x14ac:dyDescent="0.2">
      <c r="A31" s="190">
        <v>25</v>
      </c>
      <c r="B31" s="196" t="s">
        <v>186</v>
      </c>
      <c r="C31" s="193">
        <v>6038</v>
      </c>
      <c r="D31" s="193">
        <v>5488</v>
      </c>
      <c r="E31" s="193">
        <v>4010</v>
      </c>
      <c r="F31" s="193">
        <v>3910</v>
      </c>
      <c r="G31" s="192"/>
      <c r="H31" s="194">
        <f t="shared" si="0"/>
        <v>66.412719443524352</v>
      </c>
      <c r="I31" s="194">
        <f t="shared" si="1"/>
        <v>71.246355685131192</v>
      </c>
      <c r="J31" s="194">
        <f t="shared" si="2"/>
        <v>71.246355685131192</v>
      </c>
      <c r="K31" s="203">
        <f>'CD Ratio_2'!C31+'CD Ratio_2'!D31+'CD Ratio_2'!E31</f>
        <v>5488</v>
      </c>
      <c r="L31" s="203">
        <f>'CD Ratio_2'!F31+'CD Ratio_2'!G31+'CD Ratio_2'!H31</f>
        <v>3910</v>
      </c>
      <c r="M31" s="203">
        <f t="shared" si="3"/>
        <v>0</v>
      </c>
      <c r="N31" s="203">
        <f t="shared" si="4"/>
        <v>0</v>
      </c>
      <c r="P31" s="175"/>
    </row>
    <row r="32" spans="1:16" s="157" customFormat="1" ht="14" customHeight="1" x14ac:dyDescent="0.2">
      <c r="A32" s="195">
        <v>26</v>
      </c>
      <c r="B32" s="196" t="s">
        <v>187</v>
      </c>
      <c r="C32" s="193">
        <v>24428.84</v>
      </c>
      <c r="D32" s="193">
        <v>23822.18</v>
      </c>
      <c r="E32" s="193">
        <v>41987.31</v>
      </c>
      <c r="F32" s="193">
        <v>42037.8</v>
      </c>
      <c r="G32" s="192"/>
      <c r="H32" s="194">
        <f t="shared" si="0"/>
        <v>171.87598756224202</v>
      </c>
      <c r="I32" s="194">
        <f t="shared" si="1"/>
        <v>176.46495828677308</v>
      </c>
      <c r="J32" s="194">
        <f t="shared" si="2"/>
        <v>176.46495828677308</v>
      </c>
      <c r="K32" s="203">
        <f>'CD Ratio_2'!C32+'CD Ratio_2'!D32+'CD Ratio_2'!E32</f>
        <v>23822.18</v>
      </c>
      <c r="L32" s="203">
        <f>'CD Ratio_2'!F32+'CD Ratio_2'!G32+'CD Ratio_2'!H32</f>
        <v>42037.8</v>
      </c>
      <c r="M32" s="203">
        <f t="shared" si="3"/>
        <v>0</v>
      </c>
      <c r="N32" s="203">
        <f t="shared" si="4"/>
        <v>0</v>
      </c>
      <c r="P32" s="175"/>
    </row>
    <row r="33" spans="1:16" s="157" customFormat="1" ht="14" customHeight="1" x14ac:dyDescent="0.2">
      <c r="A33" s="190">
        <v>27</v>
      </c>
      <c r="B33" s="196" t="s">
        <v>188</v>
      </c>
      <c r="C33" s="193">
        <v>20533.03</v>
      </c>
      <c r="D33" s="193">
        <v>20006.939999999999</v>
      </c>
      <c r="E33" s="193">
        <v>7508.63</v>
      </c>
      <c r="F33" s="193">
        <v>7968.28</v>
      </c>
      <c r="G33" s="192"/>
      <c r="H33" s="194">
        <f t="shared" si="0"/>
        <v>36.568543463872601</v>
      </c>
      <c r="I33" s="194">
        <f t="shared" si="1"/>
        <v>39.827579829799063</v>
      </c>
      <c r="J33" s="194">
        <f t="shared" si="2"/>
        <v>39.827579829799063</v>
      </c>
      <c r="K33" s="203">
        <f>'CD Ratio_2'!C33+'CD Ratio_2'!D33+'CD Ratio_2'!E33</f>
        <v>20006.939999999999</v>
      </c>
      <c r="L33" s="203">
        <f>'CD Ratio_2'!F33+'CD Ratio_2'!G33+'CD Ratio_2'!H33</f>
        <v>7968.28</v>
      </c>
      <c r="M33" s="203">
        <f t="shared" si="3"/>
        <v>0</v>
      </c>
      <c r="N33" s="203">
        <f t="shared" si="4"/>
        <v>0</v>
      </c>
      <c r="P33" s="175"/>
    </row>
    <row r="34" spans="1:16" s="157" customFormat="1" ht="14" customHeight="1" x14ac:dyDescent="0.2">
      <c r="A34" s="195">
        <v>28</v>
      </c>
      <c r="B34" s="196" t="s">
        <v>67</v>
      </c>
      <c r="C34" s="193">
        <v>308601.34999999998</v>
      </c>
      <c r="D34" s="193">
        <v>329697.75</v>
      </c>
      <c r="E34" s="193">
        <v>541753.75</v>
      </c>
      <c r="F34" s="193">
        <v>568451.12</v>
      </c>
      <c r="G34" s="192"/>
      <c r="H34" s="194">
        <f t="shared" si="0"/>
        <v>175.55132211832515</v>
      </c>
      <c r="I34" s="194">
        <f t="shared" si="1"/>
        <v>172.41583237980848</v>
      </c>
      <c r="J34" s="194">
        <f t="shared" si="2"/>
        <v>172.41583237980848</v>
      </c>
      <c r="K34" s="203">
        <f>'CD Ratio_2'!C34+'CD Ratio_2'!D34+'CD Ratio_2'!E34</f>
        <v>329697.75</v>
      </c>
      <c r="L34" s="203">
        <f>'CD Ratio_2'!F34+'CD Ratio_2'!G34+'CD Ratio_2'!H34</f>
        <v>568451.12</v>
      </c>
      <c r="M34" s="203">
        <f t="shared" si="3"/>
        <v>0</v>
      </c>
      <c r="N34" s="203">
        <f t="shared" si="4"/>
        <v>0</v>
      </c>
      <c r="P34" s="175"/>
    </row>
    <row r="35" spans="1:16" s="157" customFormat="1" ht="14" customHeight="1" x14ac:dyDescent="0.2">
      <c r="A35" s="190">
        <v>29</v>
      </c>
      <c r="B35" s="1" t="s">
        <v>189</v>
      </c>
      <c r="C35" s="193">
        <v>6777</v>
      </c>
      <c r="D35" s="193">
        <v>6639</v>
      </c>
      <c r="E35" s="193">
        <v>6432</v>
      </c>
      <c r="F35" s="193">
        <v>6126</v>
      </c>
      <c r="G35" s="192"/>
      <c r="H35" s="194">
        <f t="shared" si="0"/>
        <v>94.909251881363431</v>
      </c>
      <c r="I35" s="194">
        <f t="shared" si="1"/>
        <v>92.272932670582918</v>
      </c>
      <c r="J35" s="194">
        <f t="shared" si="2"/>
        <v>92.272932670582918</v>
      </c>
      <c r="K35" s="203">
        <f>'CD Ratio_2'!C35+'CD Ratio_2'!D35+'CD Ratio_2'!E35</f>
        <v>6639</v>
      </c>
      <c r="L35" s="203">
        <f>'CD Ratio_2'!F35+'CD Ratio_2'!G35+'CD Ratio_2'!H35</f>
        <v>6126</v>
      </c>
      <c r="M35" s="203">
        <f t="shared" si="3"/>
        <v>0</v>
      </c>
      <c r="N35" s="203">
        <f t="shared" si="4"/>
        <v>0</v>
      </c>
      <c r="P35" s="175"/>
    </row>
    <row r="36" spans="1:16" s="157" customFormat="1" ht="14" customHeight="1" x14ac:dyDescent="0.2">
      <c r="A36" s="195">
        <v>30</v>
      </c>
      <c r="B36" s="196" t="s">
        <v>190</v>
      </c>
      <c r="C36" s="193">
        <v>54328</v>
      </c>
      <c r="D36" s="193">
        <v>46846</v>
      </c>
      <c r="E36" s="193">
        <v>87159</v>
      </c>
      <c r="F36" s="193">
        <v>86922</v>
      </c>
      <c r="G36" s="192"/>
      <c r="H36" s="194">
        <f t="shared" si="0"/>
        <v>160.4310852599028</v>
      </c>
      <c r="I36" s="194">
        <f t="shared" si="1"/>
        <v>185.54839260555863</v>
      </c>
      <c r="J36" s="194">
        <f t="shared" si="2"/>
        <v>185.54839260555863</v>
      </c>
      <c r="K36" s="203">
        <f>'CD Ratio_2'!C36+'CD Ratio_2'!D36+'CD Ratio_2'!E36</f>
        <v>46846</v>
      </c>
      <c r="L36" s="203">
        <f>'CD Ratio_2'!F36+'CD Ratio_2'!G36+'CD Ratio_2'!H36</f>
        <v>86922</v>
      </c>
      <c r="M36" s="203">
        <f t="shared" si="3"/>
        <v>0</v>
      </c>
      <c r="N36" s="203">
        <f t="shared" si="4"/>
        <v>0</v>
      </c>
      <c r="P36" s="175"/>
    </row>
    <row r="37" spans="1:16" s="157" customFormat="1" ht="14" customHeight="1" x14ac:dyDescent="0.2">
      <c r="A37" s="190">
        <v>31</v>
      </c>
      <c r="B37" s="196" t="s">
        <v>191</v>
      </c>
      <c r="C37" s="193">
        <v>46044</v>
      </c>
      <c r="D37" s="193">
        <v>47071</v>
      </c>
      <c r="E37" s="193">
        <v>9876</v>
      </c>
      <c r="F37" s="193">
        <v>9715</v>
      </c>
      <c r="G37" s="192"/>
      <c r="H37" s="194">
        <f t="shared" si="0"/>
        <v>21.44904873599166</v>
      </c>
      <c r="I37" s="194">
        <f t="shared" si="1"/>
        <v>20.639034649784367</v>
      </c>
      <c r="J37" s="194">
        <f t="shared" si="2"/>
        <v>20.639034649784367</v>
      </c>
      <c r="K37" s="203">
        <f>'CD Ratio_2'!C37+'CD Ratio_2'!D37+'CD Ratio_2'!E37</f>
        <v>47071</v>
      </c>
      <c r="L37" s="203">
        <f>'CD Ratio_2'!F37+'CD Ratio_2'!G37+'CD Ratio_2'!H37</f>
        <v>9715</v>
      </c>
      <c r="M37" s="203">
        <f t="shared" si="3"/>
        <v>0</v>
      </c>
      <c r="N37" s="203">
        <f t="shared" si="4"/>
        <v>0</v>
      </c>
      <c r="P37" s="175"/>
    </row>
    <row r="38" spans="1:16" s="157" customFormat="1" ht="14" customHeight="1" x14ac:dyDescent="0.2">
      <c r="A38" s="195">
        <v>32</v>
      </c>
      <c r="B38" s="196" t="s">
        <v>71</v>
      </c>
      <c r="C38" s="193">
        <v>22639</v>
      </c>
      <c r="D38" s="193">
        <v>23646.919160000001</v>
      </c>
      <c r="E38" s="193">
        <v>24466</v>
      </c>
      <c r="F38" s="193">
        <v>26216.322560000001</v>
      </c>
      <c r="G38" s="192"/>
      <c r="H38" s="194">
        <f t="shared" si="0"/>
        <v>108.07014444100888</v>
      </c>
      <c r="I38" s="194">
        <f t="shared" si="1"/>
        <v>110.86570044332151</v>
      </c>
      <c r="J38" s="194">
        <f t="shared" si="2"/>
        <v>110.86570044332151</v>
      </c>
      <c r="K38" s="203">
        <f>'CD Ratio_2'!C38+'CD Ratio_2'!D38+'CD Ratio_2'!E38</f>
        <v>23646.919160000001</v>
      </c>
      <c r="L38" s="203">
        <f>'CD Ratio_2'!F38+'CD Ratio_2'!G38+'CD Ratio_2'!H38</f>
        <v>26216.322560000001</v>
      </c>
      <c r="M38" s="203">
        <f t="shared" si="3"/>
        <v>0</v>
      </c>
      <c r="N38" s="203">
        <f t="shared" si="4"/>
        <v>0</v>
      </c>
      <c r="P38" s="175"/>
    </row>
    <row r="39" spans="1:16" s="157" customFormat="1" ht="14" customHeight="1" x14ac:dyDescent="0.2">
      <c r="A39" s="190">
        <v>33</v>
      </c>
      <c r="B39" s="196" t="s">
        <v>192</v>
      </c>
      <c r="C39" s="193">
        <v>3379</v>
      </c>
      <c r="D39" s="193">
        <v>2750</v>
      </c>
      <c r="E39" s="193">
        <v>6682</v>
      </c>
      <c r="F39" s="193">
        <v>6680</v>
      </c>
      <c r="G39" s="192"/>
      <c r="H39" s="194">
        <f t="shared" si="0"/>
        <v>197.75081385025155</v>
      </c>
      <c r="I39" s="194">
        <f t="shared" si="1"/>
        <v>242.90909090909091</v>
      </c>
      <c r="J39" s="194">
        <f t="shared" si="2"/>
        <v>242.90909090909091</v>
      </c>
      <c r="K39" s="203">
        <f>'CD Ratio_2'!C39+'CD Ratio_2'!D39+'CD Ratio_2'!E39</f>
        <v>2750</v>
      </c>
      <c r="L39" s="203">
        <f>'CD Ratio_2'!F39+'CD Ratio_2'!G39+'CD Ratio_2'!H39</f>
        <v>6680</v>
      </c>
      <c r="M39" s="203">
        <f t="shared" si="3"/>
        <v>0</v>
      </c>
      <c r="N39" s="203">
        <f t="shared" si="4"/>
        <v>0</v>
      </c>
      <c r="P39" s="175"/>
    </row>
    <row r="40" spans="1:16" s="157" customFormat="1" ht="14" customHeight="1" x14ac:dyDescent="0.2">
      <c r="A40" s="195">
        <v>34</v>
      </c>
      <c r="B40" s="196" t="s">
        <v>70</v>
      </c>
      <c r="C40" s="193">
        <v>179012</v>
      </c>
      <c r="D40" s="193">
        <v>186463</v>
      </c>
      <c r="E40" s="193">
        <v>229149</v>
      </c>
      <c r="F40" s="193">
        <v>217403</v>
      </c>
      <c r="G40" s="192"/>
      <c r="H40" s="194">
        <f t="shared" si="0"/>
        <v>128.00761960092061</v>
      </c>
      <c r="I40" s="194">
        <f t="shared" si="1"/>
        <v>116.59310426197155</v>
      </c>
      <c r="J40" s="194">
        <f t="shared" si="2"/>
        <v>116.59310426197155</v>
      </c>
      <c r="K40" s="203">
        <f>'CD Ratio_2'!C40+'CD Ratio_2'!D40+'CD Ratio_2'!E40</f>
        <v>186463</v>
      </c>
      <c r="L40" s="203">
        <f>'CD Ratio_2'!F40+'CD Ratio_2'!G40+'CD Ratio_2'!H40</f>
        <v>217403</v>
      </c>
      <c r="M40" s="203">
        <f t="shared" si="3"/>
        <v>0</v>
      </c>
      <c r="N40" s="203">
        <f t="shared" si="4"/>
        <v>0</v>
      </c>
      <c r="P40" s="175"/>
    </row>
    <row r="41" spans="1:16" s="164" customFormat="1" ht="14" customHeight="1" x14ac:dyDescent="0.2">
      <c r="A41" s="198"/>
      <c r="B41" s="199" t="s">
        <v>212</v>
      </c>
      <c r="C41" s="200">
        <f>SUM(C19:C40)</f>
        <v>7039292.4801676003</v>
      </c>
      <c r="D41" s="200">
        <f t="shared" ref="D41:G41" si="6">SUM(D19:D40)</f>
        <v>7160660.6391599998</v>
      </c>
      <c r="E41" s="200">
        <f t="shared" si="6"/>
        <v>9079388.6600000001</v>
      </c>
      <c r="F41" s="200">
        <f t="shared" si="6"/>
        <v>8874993.7925599981</v>
      </c>
      <c r="G41" s="200">
        <f t="shared" si="6"/>
        <v>50531</v>
      </c>
      <c r="H41" s="201">
        <f t="shared" si="0"/>
        <v>128.981551563316</v>
      </c>
      <c r="I41" s="201">
        <f t="shared" si="1"/>
        <v>123.94099147814248</v>
      </c>
      <c r="J41" s="201">
        <f t="shared" si="2"/>
        <v>124.64666659034732</v>
      </c>
      <c r="K41" s="203">
        <f>'CD Ratio_2'!C41+'CD Ratio_2'!D41+'CD Ratio_2'!E41</f>
        <v>7160660.6491600005</v>
      </c>
      <c r="L41" s="203">
        <f>'CD Ratio_2'!F41+'CD Ratio_2'!G41+'CD Ratio_2'!H41</f>
        <v>8874993.7825600002</v>
      </c>
      <c r="M41" s="203">
        <f t="shared" si="3"/>
        <v>-1.0000000707805157E-2</v>
      </c>
      <c r="N41" s="203">
        <f t="shared" si="4"/>
        <v>9.9999979138374329E-3</v>
      </c>
      <c r="P41" s="280"/>
    </row>
    <row r="42" spans="1:16" s="164" customFormat="1" ht="14" customHeight="1" x14ac:dyDescent="0.2">
      <c r="A42" s="202"/>
      <c r="B42" s="199" t="s">
        <v>311</v>
      </c>
      <c r="C42" s="200">
        <f>C41+C18</f>
        <v>42975089.460167602</v>
      </c>
      <c r="D42" s="200">
        <f t="shared" ref="D42:G42" si="7">D41+D18</f>
        <v>43596952.38916</v>
      </c>
      <c r="E42" s="200">
        <f t="shared" si="7"/>
        <v>29968266.849999998</v>
      </c>
      <c r="F42" s="200">
        <f t="shared" si="7"/>
        <v>29681419.092560001</v>
      </c>
      <c r="G42" s="200">
        <f t="shared" si="7"/>
        <v>1013782</v>
      </c>
      <c r="H42" s="201">
        <f t="shared" si="0"/>
        <v>69.734041805257306</v>
      </c>
      <c r="I42" s="201">
        <f t="shared" si="1"/>
        <v>68.081408139758011</v>
      </c>
      <c r="J42" s="201">
        <f t="shared" si="2"/>
        <v>70.406758753605203</v>
      </c>
      <c r="K42" s="203">
        <f>'CD Ratio_2'!C42+'CD Ratio_2'!D42+'CD Ratio_2'!E42</f>
        <v>43596952.70916</v>
      </c>
      <c r="L42" s="203">
        <f>'CD Ratio_2'!F42+'CD Ratio_2'!G42+'CD Ratio_2'!H42</f>
        <v>29681418.88256</v>
      </c>
      <c r="M42" s="203">
        <f t="shared" si="3"/>
        <v>-0.32000000029802322</v>
      </c>
      <c r="N42" s="203">
        <f t="shared" si="4"/>
        <v>0.21000000089406967</v>
      </c>
      <c r="P42" s="280"/>
    </row>
    <row r="43" spans="1:16" s="157" customFormat="1" ht="14" customHeight="1" x14ac:dyDescent="0.2">
      <c r="A43" s="190">
        <v>35</v>
      </c>
      <c r="B43" s="196" t="s">
        <v>193</v>
      </c>
      <c r="C43" s="193">
        <v>905988</v>
      </c>
      <c r="D43" s="193">
        <v>916277</v>
      </c>
      <c r="E43" s="193">
        <v>272529</v>
      </c>
      <c r="F43" s="193">
        <v>277653</v>
      </c>
      <c r="G43" s="192"/>
      <c r="H43" s="194">
        <f t="shared" si="0"/>
        <v>30.080861998172161</v>
      </c>
      <c r="I43" s="194">
        <f t="shared" si="1"/>
        <v>30.302299413823548</v>
      </c>
      <c r="J43" s="194">
        <f t="shared" si="2"/>
        <v>30.302299413823548</v>
      </c>
      <c r="K43" s="203">
        <f>'CD Ratio_2'!C43+'CD Ratio_2'!D43+'CD Ratio_2'!E43</f>
        <v>916277</v>
      </c>
      <c r="L43" s="203">
        <f>'CD Ratio_2'!F43+'CD Ratio_2'!G43+'CD Ratio_2'!H43</f>
        <v>277653</v>
      </c>
      <c r="M43" s="203">
        <f t="shared" si="3"/>
        <v>0</v>
      </c>
      <c r="N43" s="203">
        <f t="shared" si="4"/>
        <v>0</v>
      </c>
      <c r="P43" s="175"/>
    </row>
    <row r="44" spans="1:16" s="157" customFormat="1" ht="14" customHeight="1" x14ac:dyDescent="0.2">
      <c r="A44" s="195">
        <v>36</v>
      </c>
      <c r="B44" s="196" t="s">
        <v>382</v>
      </c>
      <c r="C44" s="193">
        <v>1614983.87</v>
      </c>
      <c r="D44" s="193">
        <v>1634992.63</v>
      </c>
      <c r="E44" s="193">
        <v>1087491.06</v>
      </c>
      <c r="F44" s="193">
        <v>1090244.31</v>
      </c>
      <c r="G44" s="192"/>
      <c r="H44" s="194">
        <f t="shared" si="0"/>
        <v>67.337580281838967</v>
      </c>
      <c r="I44" s="194">
        <f t="shared" si="1"/>
        <v>66.681909752706346</v>
      </c>
      <c r="J44" s="194">
        <f t="shared" si="2"/>
        <v>66.681909752706346</v>
      </c>
      <c r="K44" s="203">
        <f>'CD Ratio_2'!C44+'CD Ratio_2'!D44+'CD Ratio_2'!E44</f>
        <v>1634992.6300000001</v>
      </c>
      <c r="L44" s="203">
        <f>'CD Ratio_2'!F44+'CD Ratio_2'!G44+'CD Ratio_2'!H44</f>
        <v>1090244.3099999998</v>
      </c>
      <c r="M44" s="203">
        <f t="shared" si="3"/>
        <v>0</v>
      </c>
      <c r="N44" s="203">
        <f t="shared" si="4"/>
        <v>0</v>
      </c>
      <c r="P44" s="175"/>
    </row>
    <row r="45" spans="1:16" s="164" customFormat="1" ht="14" customHeight="1" x14ac:dyDescent="0.2">
      <c r="A45" s="198"/>
      <c r="B45" s="199" t="s">
        <v>216</v>
      </c>
      <c r="C45" s="200">
        <f>C43+C44</f>
        <v>2520971.87</v>
      </c>
      <c r="D45" s="200">
        <f t="shared" ref="D45:G45" si="8">D43+D44</f>
        <v>2551269.63</v>
      </c>
      <c r="E45" s="200">
        <f t="shared" si="8"/>
        <v>1360020.06</v>
      </c>
      <c r="F45" s="200">
        <f t="shared" si="8"/>
        <v>1367897.31</v>
      </c>
      <c r="G45" s="200">
        <f t="shared" si="8"/>
        <v>0</v>
      </c>
      <c r="H45" s="201">
        <f t="shared" si="0"/>
        <v>53.948244174577006</v>
      </c>
      <c r="I45" s="201">
        <f t="shared" si="1"/>
        <v>53.616336506149686</v>
      </c>
      <c r="J45" s="201">
        <f t="shared" si="2"/>
        <v>53.616336506149686</v>
      </c>
      <c r="K45" s="203">
        <f>'CD Ratio_2'!C45+'CD Ratio_2'!D45+'CD Ratio_2'!E45</f>
        <v>2551269.6300000004</v>
      </c>
      <c r="L45" s="203">
        <f>'CD Ratio_2'!F45+'CD Ratio_2'!G45+'CD Ratio_2'!H45</f>
        <v>1367897.3099999998</v>
      </c>
      <c r="M45" s="203">
        <f t="shared" si="3"/>
        <v>0</v>
      </c>
      <c r="N45" s="203">
        <f t="shared" si="4"/>
        <v>0</v>
      </c>
      <c r="P45" s="280"/>
    </row>
    <row r="46" spans="1:16" s="157" customFormat="1" ht="14" customHeight="1" x14ac:dyDescent="0.2">
      <c r="A46" s="195">
        <v>37</v>
      </c>
      <c r="B46" s="196" t="s">
        <v>312</v>
      </c>
      <c r="C46" s="193">
        <v>3059343</v>
      </c>
      <c r="D46" s="193">
        <v>3203113</v>
      </c>
      <c r="E46" s="193">
        <v>3622833</v>
      </c>
      <c r="F46" s="193">
        <v>3595261</v>
      </c>
      <c r="G46" s="192"/>
      <c r="H46" s="194">
        <f t="shared" si="0"/>
        <v>118.41866047710243</v>
      </c>
      <c r="I46" s="194">
        <f t="shared" si="1"/>
        <v>112.24271513368402</v>
      </c>
      <c r="J46" s="194">
        <f t="shared" si="2"/>
        <v>112.24271513368402</v>
      </c>
      <c r="K46" s="203">
        <f>'CD Ratio_2'!C46+'CD Ratio_2'!D46+'CD Ratio_2'!E46</f>
        <v>3203113</v>
      </c>
      <c r="L46" s="203">
        <f>'CD Ratio_2'!F46+'CD Ratio_2'!G46+'CD Ratio_2'!H46</f>
        <v>3595261</v>
      </c>
      <c r="M46" s="203">
        <f t="shared" si="3"/>
        <v>0</v>
      </c>
      <c r="N46" s="203">
        <f t="shared" si="4"/>
        <v>0</v>
      </c>
      <c r="P46" s="175"/>
    </row>
    <row r="47" spans="1:16" s="164" customFormat="1" ht="14" customHeight="1" x14ac:dyDescent="0.2">
      <c r="A47" s="202"/>
      <c r="B47" s="199" t="s">
        <v>214</v>
      </c>
      <c r="C47" s="200">
        <f>C46</f>
        <v>3059343</v>
      </c>
      <c r="D47" s="200">
        <f t="shared" ref="D47:G47" si="9">D46</f>
        <v>3203113</v>
      </c>
      <c r="E47" s="200">
        <f t="shared" si="9"/>
        <v>3622833</v>
      </c>
      <c r="F47" s="200">
        <f t="shared" si="9"/>
        <v>3595261</v>
      </c>
      <c r="G47" s="200">
        <f t="shared" si="9"/>
        <v>0</v>
      </c>
      <c r="H47" s="201">
        <f t="shared" si="0"/>
        <v>118.41866047710243</v>
      </c>
      <c r="I47" s="201">
        <f t="shared" si="1"/>
        <v>112.24271513368402</v>
      </c>
      <c r="J47" s="201">
        <f t="shared" si="2"/>
        <v>112.24271513368402</v>
      </c>
      <c r="K47" s="203">
        <f>'CD Ratio_2'!C47+'CD Ratio_2'!D47+'CD Ratio_2'!E47</f>
        <v>3203113</v>
      </c>
      <c r="L47" s="203">
        <f>'CD Ratio_2'!F47+'CD Ratio_2'!G47+'CD Ratio_2'!H47</f>
        <v>3595261</v>
      </c>
      <c r="M47" s="203">
        <f t="shared" si="3"/>
        <v>0</v>
      </c>
      <c r="N47" s="203">
        <f t="shared" si="4"/>
        <v>0</v>
      </c>
      <c r="P47" s="280"/>
    </row>
    <row r="48" spans="1:16" s="164" customFormat="1" ht="14" customHeight="1" x14ac:dyDescent="0.2">
      <c r="A48" s="195">
        <v>38</v>
      </c>
      <c r="B48" s="196" t="s">
        <v>304</v>
      </c>
      <c r="C48" s="197">
        <v>141653.95000000001</v>
      </c>
      <c r="D48" s="193">
        <v>146873.89000000001</v>
      </c>
      <c r="E48" s="197">
        <v>593876.04</v>
      </c>
      <c r="F48" s="193">
        <v>579166.81000000006</v>
      </c>
      <c r="G48" s="192"/>
      <c r="H48" s="194">
        <f t="shared" si="0"/>
        <v>419.24424980736501</v>
      </c>
      <c r="I48" s="194">
        <f t="shared" si="1"/>
        <v>394.32931884625651</v>
      </c>
      <c r="J48" s="194">
        <f t="shared" si="2"/>
        <v>394.32931884625651</v>
      </c>
      <c r="K48" s="203">
        <f>'CD Ratio_2'!C48+'CD Ratio_2'!D48+'CD Ratio_2'!E48</f>
        <v>146873.86000000002</v>
      </c>
      <c r="L48" s="203">
        <f>'CD Ratio_2'!F48+'CD Ratio_2'!G48+'CD Ratio_2'!H48</f>
        <v>579166.80000000005</v>
      </c>
      <c r="M48" s="203">
        <f t="shared" si="3"/>
        <v>2.9999999998835847E-2</v>
      </c>
      <c r="N48" s="203">
        <f t="shared" si="4"/>
        <v>1.0000000009313226E-2</v>
      </c>
      <c r="P48" s="175"/>
    </row>
    <row r="49" spans="1:16" s="157" customFormat="1" ht="14" customHeight="1" x14ac:dyDescent="0.2">
      <c r="A49" s="195">
        <v>39</v>
      </c>
      <c r="B49" s="196" t="s">
        <v>305</v>
      </c>
      <c r="C49" s="193">
        <v>60890</v>
      </c>
      <c r="D49" s="193">
        <v>66816</v>
      </c>
      <c r="E49" s="193">
        <v>60671</v>
      </c>
      <c r="F49" s="193">
        <v>57245</v>
      </c>
      <c r="G49" s="192"/>
      <c r="H49" s="194">
        <f t="shared" si="0"/>
        <v>99.640335030382658</v>
      </c>
      <c r="I49" s="194">
        <f t="shared" si="1"/>
        <v>85.67558668582376</v>
      </c>
      <c r="J49" s="194">
        <f t="shared" si="2"/>
        <v>85.67558668582376</v>
      </c>
      <c r="K49" s="203">
        <f>'CD Ratio_2'!C49+'CD Ratio_2'!D49+'CD Ratio_2'!E49</f>
        <v>66816</v>
      </c>
      <c r="L49" s="203">
        <f>'CD Ratio_2'!F49+'CD Ratio_2'!G49+'CD Ratio_2'!H49</f>
        <v>57245</v>
      </c>
      <c r="M49" s="203">
        <f t="shared" si="3"/>
        <v>0</v>
      </c>
      <c r="N49" s="203">
        <f t="shared" si="4"/>
        <v>0</v>
      </c>
      <c r="P49" s="175"/>
    </row>
    <row r="50" spans="1:16" s="157" customFormat="1" ht="14" customHeight="1" x14ac:dyDescent="0.2">
      <c r="A50" s="190">
        <v>40</v>
      </c>
      <c r="B50" s="196" t="s">
        <v>383</v>
      </c>
      <c r="C50" s="193">
        <v>5442.66</v>
      </c>
      <c r="D50" s="193">
        <v>5078.09</v>
      </c>
      <c r="E50" s="193">
        <v>44137.53</v>
      </c>
      <c r="F50" s="193">
        <v>42020.09</v>
      </c>
      <c r="G50" s="192"/>
      <c r="H50" s="194">
        <f t="shared" si="0"/>
        <v>810.95512120911474</v>
      </c>
      <c r="I50" s="194">
        <f t="shared" si="1"/>
        <v>827.47824477313316</v>
      </c>
      <c r="J50" s="194">
        <f t="shared" si="2"/>
        <v>827.47824477313316</v>
      </c>
      <c r="K50" s="203">
        <f>'CD Ratio_2'!C50+'CD Ratio_2'!D50+'CD Ratio_2'!E50</f>
        <v>5078.08</v>
      </c>
      <c r="L50" s="203">
        <f>'CD Ratio_2'!F50+'CD Ratio_2'!G50+'CD Ratio_2'!H50</f>
        <v>42020.09</v>
      </c>
      <c r="M50" s="203">
        <f t="shared" si="3"/>
        <v>1.0000000000218279E-2</v>
      </c>
      <c r="N50" s="203">
        <f t="shared" si="4"/>
        <v>0</v>
      </c>
      <c r="P50" s="175"/>
    </row>
    <row r="51" spans="1:16" s="164" customFormat="1" ht="14" customHeight="1" x14ac:dyDescent="0.2">
      <c r="A51" s="195">
        <v>41</v>
      </c>
      <c r="B51" s="15" t="s">
        <v>306</v>
      </c>
      <c r="C51" s="197">
        <v>11145.4</v>
      </c>
      <c r="D51" s="193">
        <v>11626</v>
      </c>
      <c r="E51" s="197">
        <v>54235.77</v>
      </c>
      <c r="F51" s="193">
        <v>55490.37</v>
      </c>
      <c r="G51" s="192"/>
      <c r="H51" s="194">
        <f t="shared" si="0"/>
        <v>486.62022000107669</v>
      </c>
      <c r="I51" s="194">
        <f t="shared" si="1"/>
        <v>477.29545845518663</v>
      </c>
      <c r="J51" s="194">
        <f t="shared" si="2"/>
        <v>477.29545845518663</v>
      </c>
      <c r="K51" s="203">
        <f>'CD Ratio_2'!C51+'CD Ratio_2'!D51+'CD Ratio_2'!E51</f>
        <v>11626.01</v>
      </c>
      <c r="L51" s="203">
        <f>'CD Ratio_2'!F51+'CD Ratio_2'!G51+'CD Ratio_2'!H51</f>
        <v>55490.380000000005</v>
      </c>
      <c r="M51" s="203">
        <f t="shared" si="3"/>
        <v>-1.0000000000218279E-2</v>
      </c>
      <c r="N51" s="203">
        <f t="shared" si="4"/>
        <v>-1.0000000002037268E-2</v>
      </c>
      <c r="P51" s="175"/>
    </row>
    <row r="52" spans="1:16" s="157" customFormat="1" ht="14" customHeight="1" x14ac:dyDescent="0.2">
      <c r="A52" s="195">
        <v>42</v>
      </c>
      <c r="B52" s="196" t="s">
        <v>307</v>
      </c>
      <c r="C52" s="193">
        <v>35317</v>
      </c>
      <c r="D52" s="193">
        <v>37323</v>
      </c>
      <c r="E52" s="193">
        <v>92091</v>
      </c>
      <c r="F52" s="193">
        <v>91029</v>
      </c>
      <c r="G52" s="192"/>
      <c r="H52" s="194">
        <f t="shared" si="0"/>
        <v>260.75544355409573</v>
      </c>
      <c r="I52" s="194">
        <f t="shared" si="1"/>
        <v>243.89518527449562</v>
      </c>
      <c r="J52" s="194">
        <f t="shared" si="2"/>
        <v>243.89518527449562</v>
      </c>
      <c r="K52" s="203">
        <f>'CD Ratio_2'!C52+'CD Ratio_2'!D52+'CD Ratio_2'!E52</f>
        <v>37323</v>
      </c>
      <c r="L52" s="203">
        <f>'CD Ratio_2'!F52+'CD Ratio_2'!G52+'CD Ratio_2'!H52</f>
        <v>91029</v>
      </c>
      <c r="M52" s="203">
        <f t="shared" si="3"/>
        <v>0</v>
      </c>
      <c r="N52" s="203">
        <f t="shared" si="4"/>
        <v>0</v>
      </c>
      <c r="P52" s="175"/>
    </row>
    <row r="53" spans="1:16" s="164" customFormat="1" ht="14" customHeight="1" x14ac:dyDescent="0.2">
      <c r="A53" s="190">
        <v>43</v>
      </c>
      <c r="B53" s="196" t="s">
        <v>308</v>
      </c>
      <c r="C53" s="197">
        <v>16185</v>
      </c>
      <c r="D53" s="193">
        <v>5739.41</v>
      </c>
      <c r="E53" s="197">
        <v>26867.52</v>
      </c>
      <c r="F53" s="193">
        <v>25865.84</v>
      </c>
      <c r="G53" s="192"/>
      <c r="H53" s="194">
        <f t="shared" si="0"/>
        <v>166.00259499536608</v>
      </c>
      <c r="I53" s="194">
        <f t="shared" si="1"/>
        <v>450.67071354024193</v>
      </c>
      <c r="J53" s="194">
        <f t="shared" si="2"/>
        <v>450.67071354024193</v>
      </c>
      <c r="K53" s="203">
        <f>'CD Ratio_2'!C53+'CD Ratio_2'!D53+'CD Ratio_2'!E53</f>
        <v>5739.41</v>
      </c>
      <c r="L53" s="203">
        <f>'CD Ratio_2'!F53+'CD Ratio_2'!G53+'CD Ratio_2'!H53</f>
        <v>25865.829999999998</v>
      </c>
      <c r="M53" s="203">
        <f t="shared" si="3"/>
        <v>0</v>
      </c>
      <c r="N53" s="203">
        <f t="shared" si="4"/>
        <v>1.0000000002037268E-2</v>
      </c>
      <c r="P53" s="175"/>
    </row>
    <row r="54" spans="1:16" s="157" customFormat="1" ht="14" customHeight="1" x14ac:dyDescent="0.2">
      <c r="A54" s="195">
        <v>44</v>
      </c>
      <c r="B54" s="196" t="s">
        <v>300</v>
      </c>
      <c r="C54" s="193">
        <v>7319.24</v>
      </c>
      <c r="D54" s="193">
        <v>7158.01</v>
      </c>
      <c r="E54" s="193">
        <v>22797.58</v>
      </c>
      <c r="F54" s="193">
        <v>20530.560000000001</v>
      </c>
      <c r="G54" s="192"/>
      <c r="H54" s="194">
        <f t="shared" si="0"/>
        <v>311.47468862887405</v>
      </c>
      <c r="I54" s="194">
        <f t="shared" si="1"/>
        <v>286.81938136437367</v>
      </c>
      <c r="J54" s="194">
        <f t="shared" si="2"/>
        <v>286.81938136437367</v>
      </c>
      <c r="K54" s="203">
        <f>'CD Ratio_2'!C54+'CD Ratio_2'!D54+'CD Ratio_2'!E54</f>
        <v>7158.0199999999995</v>
      </c>
      <c r="L54" s="203">
        <f>'CD Ratio_2'!F54+'CD Ratio_2'!G54+'CD Ratio_2'!H54</f>
        <v>20530.560000000001</v>
      </c>
      <c r="M54" s="203">
        <f t="shared" si="3"/>
        <v>-9.999999999308784E-3</v>
      </c>
      <c r="N54" s="203">
        <f t="shared" si="4"/>
        <v>0</v>
      </c>
      <c r="P54" s="175"/>
    </row>
    <row r="55" spans="1:16" ht="14" customHeight="1" x14ac:dyDescent="0.2">
      <c r="A55" s="195">
        <v>45</v>
      </c>
      <c r="B55" s="196" t="s">
        <v>309</v>
      </c>
      <c r="C55" s="197">
        <v>25874</v>
      </c>
      <c r="D55" s="197">
        <v>26977</v>
      </c>
      <c r="E55" s="193">
        <v>32742</v>
      </c>
      <c r="F55" s="193">
        <v>30839</v>
      </c>
      <c r="G55" s="192"/>
      <c r="H55" s="194">
        <f t="shared" si="0"/>
        <v>126.54402102496715</v>
      </c>
      <c r="I55" s="194">
        <f t="shared" si="1"/>
        <v>114.31589872854654</v>
      </c>
      <c r="J55" s="194">
        <f t="shared" si="2"/>
        <v>114.31589872854654</v>
      </c>
      <c r="K55" s="203">
        <f>'CD Ratio_2'!C55+'CD Ratio_2'!D55+'CD Ratio_2'!E55</f>
        <v>26977</v>
      </c>
      <c r="L55" s="203">
        <f>'CD Ratio_2'!F55+'CD Ratio_2'!G55+'CD Ratio_2'!H55</f>
        <v>30839</v>
      </c>
      <c r="M55" s="203">
        <f t="shared" si="3"/>
        <v>0</v>
      </c>
      <c r="N55" s="203">
        <f t="shared" si="4"/>
        <v>0</v>
      </c>
      <c r="P55" s="175"/>
    </row>
    <row r="56" spans="1:16" s="165" customFormat="1" ht="14" customHeight="1" x14ac:dyDescent="0.2">
      <c r="A56" s="202"/>
      <c r="B56" s="199" t="s">
        <v>310</v>
      </c>
      <c r="C56" s="200">
        <f>SUM(C48:C55)</f>
        <v>303827.25</v>
      </c>
      <c r="D56" s="200">
        <f t="shared" ref="D56:F56" si="10">SUM(D48:D55)</f>
        <v>307591.39999999997</v>
      </c>
      <c r="E56" s="200">
        <f t="shared" si="10"/>
        <v>927418.44000000006</v>
      </c>
      <c r="F56" s="200">
        <f t="shared" si="10"/>
        <v>902186.67</v>
      </c>
      <c r="G56" s="200">
        <f t="shared" ref="G56" si="11">SUM(G48:G55)</f>
        <v>0</v>
      </c>
      <c r="H56" s="201">
        <f t="shared" si="0"/>
        <v>305.24531292041775</v>
      </c>
      <c r="I56" s="201">
        <f t="shared" si="1"/>
        <v>293.30685773399392</v>
      </c>
      <c r="J56" s="201">
        <f t="shared" si="2"/>
        <v>293.30685773399392</v>
      </c>
      <c r="K56" s="203">
        <f>'CD Ratio_2'!C56+'CD Ratio_2'!D56+'CD Ratio_2'!E56</f>
        <v>307591.38</v>
      </c>
      <c r="L56" s="203">
        <f>'CD Ratio_2'!F56+'CD Ratio_2'!G56+'CD Ratio_2'!H56</f>
        <v>902186.65999999992</v>
      </c>
      <c r="M56" s="203">
        <f t="shared" si="3"/>
        <v>1.9999999960418791E-2</v>
      </c>
      <c r="N56" s="203">
        <f t="shared" si="4"/>
        <v>1.0000000125728548E-2</v>
      </c>
      <c r="P56" s="280"/>
    </row>
    <row r="57" spans="1:16" s="165" customFormat="1" ht="14" customHeight="1" x14ac:dyDescent="0.15">
      <c r="A57" s="202"/>
      <c r="B57" s="1" t="s">
        <v>385</v>
      </c>
      <c r="C57" s="224" t="s">
        <v>1096</v>
      </c>
      <c r="D57" s="193">
        <v>13350.8</v>
      </c>
      <c r="E57" s="193">
        <v>0</v>
      </c>
      <c r="F57" s="193">
        <v>0</v>
      </c>
      <c r="G57" s="192">
        <v>0</v>
      </c>
      <c r="H57" s="194" t="e">
        <f>E57*100/C57</f>
        <v>#VALUE!</v>
      </c>
      <c r="I57" s="194">
        <f t="shared" si="1"/>
        <v>0</v>
      </c>
      <c r="J57" s="194">
        <f t="shared" si="2"/>
        <v>0</v>
      </c>
      <c r="K57" s="203">
        <f>'CD Ratio_2'!C57+'CD Ratio_2'!D57+'CD Ratio_2'!E57</f>
        <v>13350.8</v>
      </c>
      <c r="L57" s="203">
        <f>'CD Ratio_2'!F57+'CD Ratio_2'!G57+'CD Ratio_2'!H57</f>
        <v>0</v>
      </c>
      <c r="M57" s="203">
        <f t="shared" si="3"/>
        <v>0</v>
      </c>
      <c r="N57" s="203">
        <f t="shared" si="4"/>
        <v>0</v>
      </c>
      <c r="P57" s="175"/>
    </row>
    <row r="58" spans="1:16" s="165" customFormat="1" ht="14" customHeight="1" x14ac:dyDescent="0.2">
      <c r="A58" s="202"/>
      <c r="B58" s="138" t="s">
        <v>386</v>
      </c>
      <c r="C58" s="200" t="str">
        <f>C57</f>
        <v xml:space="preserve">    </v>
      </c>
      <c r="D58" s="200">
        <f t="shared" ref="D58:F58" si="12">D57</f>
        <v>13350.8</v>
      </c>
      <c r="E58" s="200">
        <f t="shared" si="12"/>
        <v>0</v>
      </c>
      <c r="F58" s="200">
        <f t="shared" si="12"/>
        <v>0</v>
      </c>
      <c r="G58" s="200">
        <f t="shared" ref="G58" si="13">G57</f>
        <v>0</v>
      </c>
      <c r="H58" s="194" t="e">
        <f t="shared" si="0"/>
        <v>#VALUE!</v>
      </c>
      <c r="I58" s="194">
        <f t="shared" si="1"/>
        <v>0</v>
      </c>
      <c r="J58" s="201">
        <f t="shared" si="2"/>
        <v>0</v>
      </c>
      <c r="K58" s="203">
        <f>'CD Ratio_2'!C58+'CD Ratio_2'!D58+'CD Ratio_2'!E58</f>
        <v>13350.8</v>
      </c>
      <c r="L58" s="203">
        <f>'CD Ratio_2'!F58+'CD Ratio_2'!G58+'CD Ratio_2'!H58</f>
        <v>0</v>
      </c>
      <c r="M58" s="203">
        <f t="shared" si="3"/>
        <v>0</v>
      </c>
      <c r="N58" s="203">
        <f t="shared" si="4"/>
        <v>0</v>
      </c>
      <c r="P58" s="175"/>
    </row>
    <row r="59" spans="1:16" s="165" customFormat="1" ht="14" customHeight="1" x14ac:dyDescent="0.2">
      <c r="A59" s="202"/>
      <c r="B59" s="199" t="s">
        <v>0</v>
      </c>
      <c r="C59" s="200" t="e">
        <f>C58+C56+C47+C45+C42</f>
        <v>#VALUE!</v>
      </c>
      <c r="D59" s="200">
        <f t="shared" ref="D59:G59" si="14">D58+D56+D47+D45+D42</f>
        <v>49672277.219159998</v>
      </c>
      <c r="E59" s="200">
        <f t="shared" si="14"/>
        <v>35878538.349999994</v>
      </c>
      <c r="F59" s="200">
        <f t="shared" si="14"/>
        <v>35546764.072559997</v>
      </c>
      <c r="G59" s="200">
        <f t="shared" si="14"/>
        <v>1013782</v>
      </c>
      <c r="H59" s="201" t="e">
        <f t="shared" si="0"/>
        <v>#VALUE!</v>
      </c>
      <c r="I59" s="201">
        <f t="shared" si="1"/>
        <v>71.562581912086372</v>
      </c>
      <c r="J59" s="201">
        <f t="shared" si="2"/>
        <v>73.603523170984317</v>
      </c>
      <c r="K59" s="203">
        <f>'CD Ratio_2'!C59+'CD Ratio_2'!D59+'CD Ratio_2'!E59</f>
        <v>49672277.519159995</v>
      </c>
      <c r="L59" s="203">
        <f>'CD Ratio_2'!F59+'CD Ratio_2'!G59+'CD Ratio_2'!H59</f>
        <v>35546763.852559999</v>
      </c>
      <c r="M59" s="203">
        <f t="shared" si="3"/>
        <v>-0.29999999701976776</v>
      </c>
      <c r="N59" s="203">
        <f t="shared" si="4"/>
        <v>0.2199999988079071</v>
      </c>
      <c r="P59" s="280"/>
    </row>
    <row r="60" spans="1:16" ht="14" customHeight="1" x14ac:dyDescent="0.2">
      <c r="C60" s="167"/>
      <c r="D60" s="167"/>
      <c r="E60" s="167"/>
      <c r="F60" s="167" t="s">
        <v>1070</v>
      </c>
      <c r="G60" s="167"/>
      <c r="H60" s="167"/>
      <c r="I60" s="168"/>
      <c r="P60" s="175"/>
    </row>
  </sheetData>
  <sheetProtection formatCells="0" formatColumns="0" formatRows="0" insertColumns="0" insertRows="0" insertHyperlinks="0" deleteColumns="0" deleteRows="0" selectLockedCells="1" sort="0" autoFilter="0" pivotTables="0"/>
  <autoFilter ref="C5:J55" xr:uid="{00000000-0009-0000-0000-000002000000}"/>
  <mergeCells count="10">
    <mergeCell ref="M4:N4"/>
    <mergeCell ref="K4:L4"/>
    <mergeCell ref="A1:J1"/>
    <mergeCell ref="H3:J3"/>
    <mergeCell ref="A2:J2"/>
    <mergeCell ref="A4:A5"/>
    <mergeCell ref="B4:B5"/>
    <mergeCell ref="C4:D4"/>
    <mergeCell ref="H4:J4"/>
    <mergeCell ref="E4:G4"/>
  </mergeCells>
  <phoneticPr fontId="10" type="noConversion"/>
  <conditionalFormatting sqref="M1:N1048576">
    <cfRule type="cellIs" dxfId="35" priority="1" operator="equal">
      <formula>0</formula>
    </cfRule>
    <cfRule type="cellIs" dxfId="34" priority="2" operator="equal">
      <formula>0</formula>
    </cfRule>
  </conditionalFormatting>
  <pageMargins left="1" right="0.25" top="0.5" bottom="0.5" header="0.3" footer="0.3"/>
  <pageSetup scale="7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56"/>
  <sheetViews>
    <sheetView zoomScaleNormal="10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J41" sqref="J41"/>
    </sheetView>
  </sheetViews>
  <sheetFormatPr baseColWidth="10" defaultColWidth="7.796875" defaultRowHeight="13" x14ac:dyDescent="0.2"/>
  <cols>
    <col min="1" max="1" width="4.796875" style="72" customWidth="1"/>
    <col min="2" max="2" width="14.19921875" style="72" customWidth="1"/>
    <col min="3" max="3" width="7.796875" style="72"/>
    <col min="4" max="4" width="9.796875" style="72" customWidth="1"/>
    <col min="5" max="5" width="7.796875" style="72"/>
    <col min="6" max="6" width="9.19921875" style="72" customWidth="1"/>
    <col min="7" max="14" width="7.796875" style="72"/>
    <col min="15" max="15" width="9.59765625" style="72" customWidth="1"/>
    <col min="16" max="16384" width="7.796875" style="72"/>
  </cols>
  <sheetData>
    <row r="1" spans="1:19" ht="53.25" customHeight="1" x14ac:dyDescent="0.2">
      <c r="A1" s="486" t="s">
        <v>440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</row>
    <row r="2" spans="1:19" ht="24" customHeight="1" x14ac:dyDescent="0.2">
      <c r="A2" s="113" t="s">
        <v>314</v>
      </c>
      <c r="B2" s="113" t="s">
        <v>225</v>
      </c>
      <c r="C2" s="484" t="s">
        <v>441</v>
      </c>
      <c r="D2" s="484"/>
      <c r="E2" s="485" t="s">
        <v>442</v>
      </c>
      <c r="F2" s="485"/>
      <c r="G2" s="485"/>
      <c r="H2" s="485"/>
      <c r="I2" s="485"/>
      <c r="J2" s="485"/>
      <c r="K2" s="485"/>
      <c r="L2" s="485"/>
      <c r="M2" s="485" t="s">
        <v>226</v>
      </c>
      <c r="N2" s="485"/>
      <c r="O2" s="485"/>
      <c r="P2" s="485"/>
      <c r="Q2" s="485"/>
      <c r="R2" s="485"/>
    </row>
    <row r="3" spans="1:19" ht="39" x14ac:dyDescent="0.2">
      <c r="A3" s="93"/>
      <c r="B3" s="93"/>
      <c r="C3" s="97" t="s">
        <v>958</v>
      </c>
      <c r="D3" s="97" t="s">
        <v>959</v>
      </c>
      <c r="E3" s="97" t="s">
        <v>903</v>
      </c>
      <c r="F3" s="97" t="s">
        <v>960</v>
      </c>
      <c r="G3" s="92" t="s">
        <v>227</v>
      </c>
      <c r="H3" s="92" t="s">
        <v>228</v>
      </c>
      <c r="I3" s="92" t="s">
        <v>221</v>
      </c>
      <c r="J3" s="92" t="s">
        <v>222</v>
      </c>
      <c r="K3" s="92" t="s">
        <v>229</v>
      </c>
      <c r="L3" s="92" t="s">
        <v>230</v>
      </c>
      <c r="M3" s="97" t="s">
        <v>902</v>
      </c>
      <c r="N3" s="97" t="s">
        <v>904</v>
      </c>
      <c r="O3" s="97" t="s">
        <v>956</v>
      </c>
      <c r="P3" s="92" t="s">
        <v>231</v>
      </c>
      <c r="Q3" s="92" t="s">
        <v>232</v>
      </c>
      <c r="R3" s="92" t="s">
        <v>233</v>
      </c>
    </row>
    <row r="4" spans="1:19" ht="12" customHeight="1" x14ac:dyDescent="0.2">
      <c r="A4" s="94">
        <v>1</v>
      </c>
      <c r="B4" s="95" t="s">
        <v>905</v>
      </c>
      <c r="C4" s="98">
        <v>14</v>
      </c>
      <c r="D4" s="98">
        <v>380</v>
      </c>
      <c r="E4" s="98" t="s">
        <v>451</v>
      </c>
      <c r="F4" s="98">
        <v>409</v>
      </c>
      <c r="G4" s="98" t="s">
        <v>962</v>
      </c>
      <c r="H4" s="98" t="s">
        <v>452</v>
      </c>
      <c r="I4" s="98" t="s">
        <v>453</v>
      </c>
      <c r="J4" s="98" t="s">
        <v>454</v>
      </c>
      <c r="K4" s="98" t="s">
        <v>455</v>
      </c>
      <c r="L4" s="98">
        <v>0</v>
      </c>
      <c r="M4" s="98" t="s">
        <v>456</v>
      </c>
      <c r="N4" s="98" t="s">
        <v>457</v>
      </c>
      <c r="O4" s="98" t="s">
        <v>458</v>
      </c>
      <c r="P4" s="98" t="s">
        <v>459</v>
      </c>
      <c r="Q4" s="98" t="s">
        <v>460</v>
      </c>
      <c r="R4" s="98" t="s">
        <v>461</v>
      </c>
      <c r="S4" s="102" t="s">
        <v>277</v>
      </c>
    </row>
    <row r="5" spans="1:19" ht="12" customHeight="1" x14ac:dyDescent="0.2">
      <c r="A5" s="94">
        <v>2</v>
      </c>
      <c r="B5" s="95" t="s">
        <v>906</v>
      </c>
      <c r="C5" s="98">
        <v>18</v>
      </c>
      <c r="D5" s="98">
        <v>400</v>
      </c>
      <c r="E5" s="98" t="s">
        <v>451</v>
      </c>
      <c r="F5" s="98" t="s">
        <v>462</v>
      </c>
      <c r="G5" s="98" t="s">
        <v>963</v>
      </c>
      <c r="H5" s="98" t="s">
        <v>463</v>
      </c>
      <c r="I5" s="98" t="s">
        <v>464</v>
      </c>
      <c r="J5" s="98" t="s">
        <v>465</v>
      </c>
      <c r="K5" s="98">
        <v>0</v>
      </c>
      <c r="L5" s="98">
        <v>0</v>
      </c>
      <c r="M5" s="98" t="s">
        <v>466</v>
      </c>
      <c r="N5" s="98" t="s">
        <v>467</v>
      </c>
      <c r="O5" s="98" t="s">
        <v>468</v>
      </c>
      <c r="P5" s="98" t="s">
        <v>469</v>
      </c>
      <c r="Q5" s="98" t="s">
        <v>470</v>
      </c>
      <c r="R5" s="98" t="s">
        <v>471</v>
      </c>
      <c r="S5" s="72" t="s">
        <v>278</v>
      </c>
    </row>
    <row r="6" spans="1:19" ht="12" customHeight="1" x14ac:dyDescent="0.2">
      <c r="A6" s="94">
        <v>3</v>
      </c>
      <c r="B6" s="95" t="s">
        <v>907</v>
      </c>
      <c r="C6" s="98">
        <v>15</v>
      </c>
      <c r="D6" s="98">
        <v>375</v>
      </c>
      <c r="E6" s="98" t="s">
        <v>472</v>
      </c>
      <c r="F6" s="98" t="s">
        <v>473</v>
      </c>
      <c r="G6" s="98" t="s">
        <v>964</v>
      </c>
      <c r="H6" s="98">
        <v>0</v>
      </c>
      <c r="I6" s="98" t="s">
        <v>474</v>
      </c>
      <c r="J6" s="98" t="s">
        <v>475</v>
      </c>
      <c r="K6" s="98" t="s">
        <v>476</v>
      </c>
      <c r="L6" s="98">
        <v>0</v>
      </c>
      <c r="M6" s="98" t="s">
        <v>477</v>
      </c>
      <c r="N6" s="98" t="s">
        <v>478</v>
      </c>
      <c r="O6" s="98" t="s">
        <v>479</v>
      </c>
      <c r="P6" s="98" t="s">
        <v>480</v>
      </c>
      <c r="Q6" s="98" t="s">
        <v>481</v>
      </c>
      <c r="R6" s="98" t="s">
        <v>482</v>
      </c>
      <c r="S6" s="72" t="s">
        <v>279</v>
      </c>
    </row>
    <row r="7" spans="1:19" ht="12" customHeight="1" x14ac:dyDescent="0.2">
      <c r="A7" s="94">
        <v>4</v>
      </c>
      <c r="B7" s="95" t="s">
        <v>908</v>
      </c>
      <c r="C7" s="98">
        <v>16</v>
      </c>
      <c r="D7" s="98">
        <v>450</v>
      </c>
      <c r="E7" s="98" t="s">
        <v>483</v>
      </c>
      <c r="F7" s="98" t="s">
        <v>484</v>
      </c>
      <c r="G7" s="98" t="s">
        <v>965</v>
      </c>
      <c r="H7" s="98" t="s">
        <v>485</v>
      </c>
      <c r="I7" s="98" t="s">
        <v>474</v>
      </c>
      <c r="J7" s="98" t="s">
        <v>486</v>
      </c>
      <c r="K7" s="98" t="s">
        <v>487</v>
      </c>
      <c r="L7" s="98">
        <v>1</v>
      </c>
      <c r="M7" s="98" t="s">
        <v>488</v>
      </c>
      <c r="N7" s="98" t="s">
        <v>489</v>
      </c>
      <c r="O7" s="98" t="s">
        <v>490</v>
      </c>
      <c r="P7" s="98" t="s">
        <v>491</v>
      </c>
      <c r="Q7" s="98" t="s">
        <v>492</v>
      </c>
      <c r="R7" s="98" t="s">
        <v>493</v>
      </c>
    </row>
    <row r="8" spans="1:19" ht="12" customHeight="1" x14ac:dyDescent="0.2">
      <c r="A8" s="94">
        <v>5</v>
      </c>
      <c r="B8" s="95" t="s">
        <v>909</v>
      </c>
      <c r="C8" s="98">
        <v>0</v>
      </c>
      <c r="D8" s="98">
        <v>0</v>
      </c>
      <c r="E8" s="98" t="s">
        <v>957</v>
      </c>
      <c r="F8" s="98">
        <v>0</v>
      </c>
      <c r="G8" s="99" t="s">
        <v>957</v>
      </c>
      <c r="H8" s="99">
        <v>0</v>
      </c>
      <c r="I8" s="99">
        <v>0</v>
      </c>
      <c r="J8" s="99">
        <v>0</v>
      </c>
      <c r="K8" s="99">
        <v>0</v>
      </c>
      <c r="L8" s="98">
        <v>0</v>
      </c>
      <c r="M8" s="98" t="s">
        <v>494</v>
      </c>
      <c r="N8" s="98" t="s">
        <v>495</v>
      </c>
      <c r="O8" s="98" t="s">
        <v>496</v>
      </c>
      <c r="P8" s="98" t="s">
        <v>497</v>
      </c>
      <c r="Q8" s="98" t="s">
        <v>498</v>
      </c>
      <c r="R8" s="98" t="s">
        <v>499</v>
      </c>
    </row>
    <row r="9" spans="1:19" ht="12" customHeight="1" x14ac:dyDescent="0.2">
      <c r="A9" s="94">
        <v>6</v>
      </c>
      <c r="B9" s="95" t="s">
        <v>910</v>
      </c>
      <c r="C9" s="98">
        <v>20</v>
      </c>
      <c r="D9" s="98">
        <v>450</v>
      </c>
      <c r="E9" s="98" t="s">
        <v>500</v>
      </c>
      <c r="F9" s="98" t="s">
        <v>501</v>
      </c>
      <c r="G9" s="98" t="s">
        <v>966</v>
      </c>
      <c r="H9" s="98" t="s">
        <v>454</v>
      </c>
      <c r="I9" s="98" t="s">
        <v>502</v>
      </c>
      <c r="J9" s="98" t="s">
        <v>503</v>
      </c>
      <c r="K9" s="98" t="s">
        <v>504</v>
      </c>
      <c r="L9" s="98" t="s">
        <v>505</v>
      </c>
      <c r="M9" s="98" t="s">
        <v>506</v>
      </c>
      <c r="N9" s="98" t="s">
        <v>507</v>
      </c>
      <c r="O9" s="98" t="s">
        <v>508</v>
      </c>
      <c r="P9" s="98" t="s">
        <v>509</v>
      </c>
      <c r="Q9" s="98" t="s">
        <v>510</v>
      </c>
      <c r="R9" s="98" t="s">
        <v>511</v>
      </c>
    </row>
    <row r="10" spans="1:19" ht="12" customHeight="1" x14ac:dyDescent="0.2">
      <c r="A10" s="94">
        <v>7</v>
      </c>
      <c r="B10" s="95" t="s">
        <v>911</v>
      </c>
      <c r="C10" s="98">
        <v>17</v>
      </c>
      <c r="D10" s="98">
        <v>500</v>
      </c>
      <c r="E10" s="98" t="s">
        <v>483</v>
      </c>
      <c r="F10" s="98" t="s">
        <v>512</v>
      </c>
      <c r="G10" s="98" t="s">
        <v>967</v>
      </c>
      <c r="H10" s="98" t="s">
        <v>513</v>
      </c>
      <c r="I10" s="98" t="s">
        <v>514</v>
      </c>
      <c r="J10" s="98" t="s">
        <v>515</v>
      </c>
      <c r="K10" s="98" t="s">
        <v>516</v>
      </c>
      <c r="L10" s="98" t="s">
        <v>517</v>
      </c>
      <c r="M10" s="98" t="s">
        <v>518</v>
      </c>
      <c r="N10" s="98" t="s">
        <v>519</v>
      </c>
      <c r="O10" s="98" t="s">
        <v>520</v>
      </c>
      <c r="P10" s="98" t="s">
        <v>521</v>
      </c>
      <c r="Q10" s="98" t="s">
        <v>522</v>
      </c>
      <c r="R10" s="98" t="s">
        <v>523</v>
      </c>
    </row>
    <row r="11" spans="1:19" ht="12" customHeight="1" x14ac:dyDescent="0.2">
      <c r="A11" s="94">
        <v>8</v>
      </c>
      <c r="B11" s="95" t="s">
        <v>912</v>
      </c>
      <c r="C11" s="98">
        <v>14</v>
      </c>
      <c r="D11" s="98">
        <v>400</v>
      </c>
      <c r="E11" s="98" t="s">
        <v>524</v>
      </c>
      <c r="F11" s="98" t="s">
        <v>525</v>
      </c>
      <c r="G11" s="98" t="s">
        <v>968</v>
      </c>
      <c r="H11" s="98" t="s">
        <v>526</v>
      </c>
      <c r="I11" s="98" t="s">
        <v>527</v>
      </c>
      <c r="J11" s="98" t="s">
        <v>528</v>
      </c>
      <c r="K11" s="98" t="s">
        <v>529</v>
      </c>
      <c r="L11" s="98" t="s">
        <v>530</v>
      </c>
      <c r="M11" s="98" t="s">
        <v>461</v>
      </c>
      <c r="N11" s="98" t="s">
        <v>531</v>
      </c>
      <c r="O11" s="98" t="s">
        <v>532</v>
      </c>
      <c r="P11" s="98" t="s">
        <v>533</v>
      </c>
      <c r="Q11" s="98" t="s">
        <v>534</v>
      </c>
      <c r="R11" s="98" t="s">
        <v>451</v>
      </c>
    </row>
    <row r="12" spans="1:19" ht="12" customHeight="1" x14ac:dyDescent="0.2">
      <c r="A12" s="94">
        <v>9</v>
      </c>
      <c r="B12" s="95" t="s">
        <v>913</v>
      </c>
      <c r="C12" s="98">
        <v>16</v>
      </c>
      <c r="D12" s="98">
        <v>450</v>
      </c>
      <c r="E12" s="98" t="s">
        <v>535</v>
      </c>
      <c r="F12" s="98" t="s">
        <v>536</v>
      </c>
      <c r="G12" s="98" t="s">
        <v>969</v>
      </c>
      <c r="H12" s="98" t="s">
        <v>452</v>
      </c>
      <c r="I12" s="98" t="s">
        <v>527</v>
      </c>
      <c r="J12" s="98" t="s">
        <v>537</v>
      </c>
      <c r="K12" s="98" t="s">
        <v>488</v>
      </c>
      <c r="L12" s="98" t="s">
        <v>524</v>
      </c>
      <c r="M12" s="98" t="s">
        <v>538</v>
      </c>
      <c r="N12" s="98" t="s">
        <v>539</v>
      </c>
      <c r="O12" s="98" t="s">
        <v>540</v>
      </c>
      <c r="P12" s="98" t="s">
        <v>541</v>
      </c>
      <c r="Q12" s="98" t="s">
        <v>542</v>
      </c>
      <c r="R12" s="98" t="s">
        <v>477</v>
      </c>
    </row>
    <row r="13" spans="1:19" ht="12" customHeight="1" x14ac:dyDescent="0.2">
      <c r="A13" s="94">
        <v>10</v>
      </c>
      <c r="B13" s="95" t="s">
        <v>914</v>
      </c>
      <c r="C13" s="98">
        <v>18</v>
      </c>
      <c r="D13" s="98">
        <v>450</v>
      </c>
      <c r="E13" s="98" t="s">
        <v>543</v>
      </c>
      <c r="F13" s="98" t="s">
        <v>544</v>
      </c>
      <c r="G13" s="98" t="s">
        <v>970</v>
      </c>
      <c r="H13" s="98" t="s">
        <v>546</v>
      </c>
      <c r="I13" s="98" t="s">
        <v>547</v>
      </c>
      <c r="J13" s="98" t="s">
        <v>548</v>
      </c>
      <c r="K13" s="98" t="s">
        <v>549</v>
      </c>
      <c r="L13" s="98" t="s">
        <v>550</v>
      </c>
      <c r="M13" s="98" t="s">
        <v>551</v>
      </c>
      <c r="N13" s="98" t="s">
        <v>552</v>
      </c>
      <c r="O13" s="98" t="s">
        <v>553</v>
      </c>
      <c r="P13" s="98" t="s">
        <v>554</v>
      </c>
      <c r="Q13" s="98" t="s">
        <v>555</v>
      </c>
      <c r="R13" s="98" t="s">
        <v>556</v>
      </c>
    </row>
    <row r="14" spans="1:19" ht="12" customHeight="1" x14ac:dyDescent="0.2">
      <c r="A14" s="94">
        <v>11</v>
      </c>
      <c r="B14" s="95" t="s">
        <v>915</v>
      </c>
      <c r="C14" s="98">
        <v>15</v>
      </c>
      <c r="D14" s="98">
        <v>450</v>
      </c>
      <c r="E14" s="98" t="s">
        <v>535</v>
      </c>
      <c r="F14" s="98" t="s">
        <v>462</v>
      </c>
      <c r="G14" s="98" t="s">
        <v>971</v>
      </c>
      <c r="H14" s="98">
        <v>0</v>
      </c>
      <c r="I14" s="98" t="s">
        <v>557</v>
      </c>
      <c r="J14" s="98" t="s">
        <v>513</v>
      </c>
      <c r="K14" s="98" t="s">
        <v>558</v>
      </c>
      <c r="L14" s="98" t="s">
        <v>500</v>
      </c>
      <c r="M14" s="98" t="s">
        <v>559</v>
      </c>
      <c r="N14" s="98" t="s">
        <v>560</v>
      </c>
      <c r="O14" s="98" t="s">
        <v>561</v>
      </c>
      <c r="P14" s="98" t="s">
        <v>562</v>
      </c>
      <c r="Q14" s="98" t="s">
        <v>563</v>
      </c>
      <c r="R14" s="98" t="s">
        <v>564</v>
      </c>
    </row>
    <row r="15" spans="1:19" ht="12" customHeight="1" x14ac:dyDescent="0.2">
      <c r="A15" s="94">
        <v>12</v>
      </c>
      <c r="B15" s="95" t="s">
        <v>916</v>
      </c>
      <c r="C15" s="98">
        <v>16</v>
      </c>
      <c r="D15" s="98">
        <v>300</v>
      </c>
      <c r="E15" s="98" t="s">
        <v>565</v>
      </c>
      <c r="F15" s="98" t="s">
        <v>566</v>
      </c>
      <c r="G15" s="98" t="s">
        <v>972</v>
      </c>
      <c r="H15" s="98" t="s">
        <v>567</v>
      </c>
      <c r="I15" s="98" t="s">
        <v>568</v>
      </c>
      <c r="J15" s="98" t="s">
        <v>569</v>
      </c>
      <c r="K15" s="98" t="s">
        <v>570</v>
      </c>
      <c r="L15" s="98" t="s">
        <v>485</v>
      </c>
      <c r="M15" s="98" t="s">
        <v>571</v>
      </c>
      <c r="N15" s="98" t="s">
        <v>572</v>
      </c>
      <c r="O15" s="98" t="s">
        <v>573</v>
      </c>
      <c r="P15" s="98" t="s">
        <v>574</v>
      </c>
      <c r="Q15" s="98" t="s">
        <v>575</v>
      </c>
      <c r="R15" s="98" t="s">
        <v>576</v>
      </c>
    </row>
    <row r="16" spans="1:19" ht="12" customHeight="1" x14ac:dyDescent="0.2">
      <c r="A16" s="94">
        <v>13</v>
      </c>
      <c r="B16" s="95" t="s">
        <v>917</v>
      </c>
      <c r="C16" s="98">
        <v>15</v>
      </c>
      <c r="D16" s="98">
        <v>400</v>
      </c>
      <c r="E16" s="98" t="s">
        <v>535</v>
      </c>
      <c r="F16" s="98" t="s">
        <v>577</v>
      </c>
      <c r="G16" s="98" t="s">
        <v>973</v>
      </c>
      <c r="H16" s="98" t="s">
        <v>578</v>
      </c>
      <c r="I16" s="98" t="s">
        <v>579</v>
      </c>
      <c r="J16" s="98" t="s">
        <v>530</v>
      </c>
      <c r="K16" s="98" t="s">
        <v>580</v>
      </c>
      <c r="L16" s="98" t="s">
        <v>500</v>
      </c>
      <c r="M16" s="98" t="s">
        <v>511</v>
      </c>
      <c r="N16" s="98" t="s">
        <v>581</v>
      </c>
      <c r="O16" s="98" t="s">
        <v>582</v>
      </c>
      <c r="P16" s="98" t="s">
        <v>583</v>
      </c>
      <c r="Q16" s="98" t="s">
        <v>584</v>
      </c>
      <c r="R16" s="98" t="s">
        <v>585</v>
      </c>
    </row>
    <row r="17" spans="1:18" ht="12" customHeight="1" x14ac:dyDescent="0.2">
      <c r="A17" s="94">
        <v>14</v>
      </c>
      <c r="B17" s="95" t="s">
        <v>918</v>
      </c>
      <c r="C17" s="98">
        <v>17</v>
      </c>
      <c r="D17" s="98">
        <v>450</v>
      </c>
      <c r="E17" s="98" t="s">
        <v>483</v>
      </c>
      <c r="F17" s="98" t="s">
        <v>586</v>
      </c>
      <c r="G17" s="98" t="s">
        <v>974</v>
      </c>
      <c r="H17" s="98">
        <v>0</v>
      </c>
      <c r="I17" s="98" t="s">
        <v>556</v>
      </c>
      <c r="J17" s="98" t="s">
        <v>588</v>
      </c>
      <c r="K17" s="98" t="s">
        <v>589</v>
      </c>
      <c r="L17" s="98" t="s">
        <v>500</v>
      </c>
      <c r="M17" s="98" t="s">
        <v>590</v>
      </c>
      <c r="N17" s="98" t="s">
        <v>591</v>
      </c>
      <c r="O17" s="98" t="s">
        <v>592</v>
      </c>
      <c r="P17" s="98" t="s">
        <v>593</v>
      </c>
      <c r="Q17" s="98" t="s">
        <v>594</v>
      </c>
      <c r="R17" s="98" t="s">
        <v>472</v>
      </c>
    </row>
    <row r="18" spans="1:18" ht="12" customHeight="1" x14ac:dyDescent="0.2">
      <c r="A18" s="94">
        <v>15</v>
      </c>
      <c r="B18" s="95" t="s">
        <v>919</v>
      </c>
      <c r="C18" s="98">
        <v>15</v>
      </c>
      <c r="D18" s="98">
        <v>375</v>
      </c>
      <c r="E18" s="98" t="s">
        <v>565</v>
      </c>
      <c r="F18" s="98" t="s">
        <v>595</v>
      </c>
      <c r="G18" s="98" t="s">
        <v>975</v>
      </c>
      <c r="H18" s="98" t="s">
        <v>961</v>
      </c>
      <c r="I18" s="98" t="s">
        <v>596</v>
      </c>
      <c r="J18" s="98" t="s">
        <v>597</v>
      </c>
      <c r="K18" s="98" t="s">
        <v>598</v>
      </c>
      <c r="L18" s="98">
        <v>0</v>
      </c>
      <c r="M18" s="98" t="s">
        <v>599</v>
      </c>
      <c r="N18" s="98" t="s">
        <v>600</v>
      </c>
      <c r="O18" s="98" t="s">
        <v>601</v>
      </c>
      <c r="P18" s="98" t="s">
        <v>602</v>
      </c>
      <c r="Q18" s="98" t="s">
        <v>603</v>
      </c>
      <c r="R18" s="98" t="s">
        <v>604</v>
      </c>
    </row>
    <row r="19" spans="1:18" ht="12" customHeight="1" x14ac:dyDescent="0.2">
      <c r="A19" s="94">
        <v>16</v>
      </c>
      <c r="B19" s="95" t="s">
        <v>920</v>
      </c>
      <c r="C19" s="98">
        <v>15</v>
      </c>
      <c r="D19" s="98">
        <v>450</v>
      </c>
      <c r="E19" s="98" t="s">
        <v>524</v>
      </c>
      <c r="F19" s="98" t="s">
        <v>605</v>
      </c>
      <c r="G19" s="98" t="s">
        <v>976</v>
      </c>
      <c r="H19" s="98" t="s">
        <v>606</v>
      </c>
      <c r="I19" s="98" t="s">
        <v>530</v>
      </c>
      <c r="J19" s="98" t="s">
        <v>517</v>
      </c>
      <c r="K19" s="98" t="s">
        <v>607</v>
      </c>
      <c r="L19" s="98" t="s">
        <v>485</v>
      </c>
      <c r="M19" s="98" t="s">
        <v>518</v>
      </c>
      <c r="N19" s="98" t="s">
        <v>608</v>
      </c>
      <c r="O19" s="98" t="s">
        <v>609</v>
      </c>
      <c r="P19" s="98" t="s">
        <v>610</v>
      </c>
      <c r="Q19" s="98" t="s">
        <v>611</v>
      </c>
      <c r="R19" s="98" t="s">
        <v>612</v>
      </c>
    </row>
    <row r="20" spans="1:18" ht="12" customHeight="1" x14ac:dyDescent="0.2">
      <c r="A20" s="94">
        <v>17</v>
      </c>
      <c r="B20" s="95" t="s">
        <v>921</v>
      </c>
      <c r="C20" s="98">
        <v>15</v>
      </c>
      <c r="D20" s="98">
        <v>450</v>
      </c>
      <c r="E20" s="98" t="s">
        <v>535</v>
      </c>
      <c r="F20" s="98" t="s">
        <v>613</v>
      </c>
      <c r="G20" s="98" t="s">
        <v>977</v>
      </c>
      <c r="H20" s="98" t="s">
        <v>545</v>
      </c>
      <c r="I20" s="98" t="s">
        <v>487</v>
      </c>
      <c r="J20" s="98" t="s">
        <v>455</v>
      </c>
      <c r="K20" s="98" t="s">
        <v>614</v>
      </c>
      <c r="L20" s="98" t="s">
        <v>474</v>
      </c>
      <c r="M20" s="98" t="s">
        <v>615</v>
      </c>
      <c r="N20" s="98" t="s">
        <v>616</v>
      </c>
      <c r="O20" s="98" t="s">
        <v>617</v>
      </c>
      <c r="P20" s="98" t="s">
        <v>618</v>
      </c>
      <c r="Q20" s="98" t="s">
        <v>619</v>
      </c>
      <c r="R20" s="98" t="s">
        <v>620</v>
      </c>
    </row>
    <row r="21" spans="1:18" ht="12" customHeight="1" x14ac:dyDescent="0.2">
      <c r="A21" s="94">
        <v>18</v>
      </c>
      <c r="B21" s="95" t="s">
        <v>922</v>
      </c>
      <c r="C21" s="98">
        <v>17</v>
      </c>
      <c r="D21" s="98">
        <v>325</v>
      </c>
      <c r="E21" s="98" t="s">
        <v>565</v>
      </c>
      <c r="F21" s="98" t="s">
        <v>621</v>
      </c>
      <c r="G21" s="98" t="s">
        <v>978</v>
      </c>
      <c r="H21" s="98" t="s">
        <v>622</v>
      </c>
      <c r="I21" s="98" t="s">
        <v>623</v>
      </c>
      <c r="J21" s="98">
        <v>0</v>
      </c>
      <c r="K21" s="98" t="s">
        <v>606</v>
      </c>
      <c r="L21" s="98" t="s">
        <v>513</v>
      </c>
      <c r="M21" s="98" t="s">
        <v>624</v>
      </c>
      <c r="N21" s="98" t="s">
        <v>625</v>
      </c>
      <c r="O21" s="98" t="s">
        <v>626</v>
      </c>
      <c r="P21" s="98" t="s">
        <v>627</v>
      </c>
      <c r="Q21" s="98" t="s">
        <v>628</v>
      </c>
      <c r="R21" s="98" t="s">
        <v>629</v>
      </c>
    </row>
    <row r="22" spans="1:18" ht="12" customHeight="1" x14ac:dyDescent="0.2">
      <c r="A22" s="94">
        <v>19</v>
      </c>
      <c r="B22" s="95" t="s">
        <v>923</v>
      </c>
      <c r="C22" s="98">
        <v>12</v>
      </c>
      <c r="D22" s="98">
        <v>375</v>
      </c>
      <c r="E22" s="98" t="s">
        <v>472</v>
      </c>
      <c r="F22" s="98" t="s">
        <v>630</v>
      </c>
      <c r="G22" s="98" t="s">
        <v>979</v>
      </c>
      <c r="H22" s="98">
        <v>0</v>
      </c>
      <c r="I22" s="98" t="s">
        <v>567</v>
      </c>
      <c r="J22" s="98" t="s">
        <v>631</v>
      </c>
      <c r="K22" s="98" t="s">
        <v>632</v>
      </c>
      <c r="L22" s="98">
        <v>0</v>
      </c>
      <c r="M22" s="98" t="s">
        <v>633</v>
      </c>
      <c r="N22" s="98" t="s">
        <v>634</v>
      </c>
      <c r="O22" s="98" t="s">
        <v>635</v>
      </c>
      <c r="P22" s="98" t="s">
        <v>636</v>
      </c>
      <c r="Q22" s="98" t="s">
        <v>637</v>
      </c>
      <c r="R22" s="98" t="s">
        <v>638</v>
      </c>
    </row>
    <row r="23" spans="1:18" ht="12" customHeight="1" x14ac:dyDescent="0.2">
      <c r="A23" s="94">
        <v>20</v>
      </c>
      <c r="B23" s="95" t="s">
        <v>924</v>
      </c>
      <c r="C23" s="98">
        <v>15</v>
      </c>
      <c r="D23" s="98">
        <v>450</v>
      </c>
      <c r="E23" s="98" t="s">
        <v>535</v>
      </c>
      <c r="F23" s="98" t="s">
        <v>639</v>
      </c>
      <c r="G23" s="98" t="s">
        <v>980</v>
      </c>
      <c r="H23" s="98" t="s">
        <v>588</v>
      </c>
      <c r="I23" s="98" t="s">
        <v>500</v>
      </c>
      <c r="J23" s="98" t="s">
        <v>640</v>
      </c>
      <c r="K23" s="98" t="s">
        <v>453</v>
      </c>
      <c r="L23" s="98">
        <v>0</v>
      </c>
      <c r="M23" s="98" t="s">
        <v>641</v>
      </c>
      <c r="N23" s="98" t="s">
        <v>642</v>
      </c>
      <c r="O23" s="98" t="s">
        <v>643</v>
      </c>
      <c r="P23" s="98" t="s">
        <v>644</v>
      </c>
      <c r="Q23" s="98" t="s">
        <v>645</v>
      </c>
      <c r="R23" s="98" t="s">
        <v>646</v>
      </c>
    </row>
    <row r="24" spans="1:18" ht="12" customHeight="1" x14ac:dyDescent="0.2">
      <c r="A24" s="94">
        <v>21</v>
      </c>
      <c r="B24" s="95" t="s">
        <v>925</v>
      </c>
      <c r="C24" s="98">
        <v>20</v>
      </c>
      <c r="D24" s="98">
        <v>450</v>
      </c>
      <c r="E24" s="98" t="s">
        <v>483</v>
      </c>
      <c r="F24" s="98" t="s">
        <v>647</v>
      </c>
      <c r="G24" s="98" t="s">
        <v>981</v>
      </c>
      <c r="H24" s="98" t="s">
        <v>648</v>
      </c>
      <c r="I24" s="98" t="s">
        <v>649</v>
      </c>
      <c r="J24" s="98" t="s">
        <v>650</v>
      </c>
      <c r="K24" s="98" t="s">
        <v>597</v>
      </c>
      <c r="L24" s="98" t="s">
        <v>651</v>
      </c>
      <c r="M24" s="98" t="s">
        <v>652</v>
      </c>
      <c r="N24" s="98" t="s">
        <v>653</v>
      </c>
      <c r="O24" s="98" t="s">
        <v>654</v>
      </c>
      <c r="P24" s="98" t="s">
        <v>655</v>
      </c>
      <c r="Q24" s="98" t="s">
        <v>497</v>
      </c>
      <c r="R24" s="98" t="s">
        <v>656</v>
      </c>
    </row>
    <row r="25" spans="1:18" ht="12" customHeight="1" x14ac:dyDescent="0.2">
      <c r="A25" s="94">
        <v>22</v>
      </c>
      <c r="B25" s="95" t="s">
        <v>926</v>
      </c>
      <c r="C25" s="98">
        <v>14</v>
      </c>
      <c r="D25" s="98">
        <v>350</v>
      </c>
      <c r="E25" s="98" t="s">
        <v>535</v>
      </c>
      <c r="F25" s="98" t="s">
        <v>657</v>
      </c>
      <c r="G25" s="98" t="s">
        <v>982</v>
      </c>
      <c r="H25" s="98">
        <v>0</v>
      </c>
      <c r="I25" s="98" t="s">
        <v>606</v>
      </c>
      <c r="J25" s="98" t="s">
        <v>659</v>
      </c>
      <c r="K25" s="98" t="s">
        <v>660</v>
      </c>
      <c r="L25" s="98" t="s">
        <v>464</v>
      </c>
      <c r="M25" s="98" t="s">
        <v>661</v>
      </c>
      <c r="N25" s="98" t="s">
        <v>662</v>
      </c>
      <c r="O25" s="98" t="s">
        <v>663</v>
      </c>
      <c r="P25" s="98" t="s">
        <v>664</v>
      </c>
      <c r="Q25" s="98" t="s">
        <v>665</v>
      </c>
      <c r="R25" s="98" t="s">
        <v>485</v>
      </c>
    </row>
    <row r="26" spans="1:18" ht="12" customHeight="1" x14ac:dyDescent="0.2">
      <c r="A26" s="94">
        <v>23</v>
      </c>
      <c r="B26" s="95" t="s">
        <v>927</v>
      </c>
      <c r="C26" s="98">
        <v>15</v>
      </c>
      <c r="D26" s="98">
        <v>375</v>
      </c>
      <c r="E26" s="98" t="s">
        <v>483</v>
      </c>
      <c r="F26" s="98" t="s">
        <v>666</v>
      </c>
      <c r="G26" s="98" t="s">
        <v>974</v>
      </c>
      <c r="H26" s="98" t="s">
        <v>667</v>
      </c>
      <c r="I26" s="98" t="s">
        <v>668</v>
      </c>
      <c r="J26" s="98" t="s">
        <v>669</v>
      </c>
      <c r="K26" s="98" t="s">
        <v>670</v>
      </c>
      <c r="L26" s="98">
        <v>0</v>
      </c>
      <c r="M26" s="98" t="s">
        <v>506</v>
      </c>
      <c r="N26" s="98" t="s">
        <v>671</v>
      </c>
      <c r="O26" s="98" t="s">
        <v>672</v>
      </c>
      <c r="P26" s="98" t="s">
        <v>673</v>
      </c>
      <c r="Q26" s="98" t="s">
        <v>674</v>
      </c>
      <c r="R26" s="98" t="s">
        <v>675</v>
      </c>
    </row>
    <row r="27" spans="1:18" ht="12" customHeight="1" x14ac:dyDescent="0.2">
      <c r="A27" s="94">
        <v>24</v>
      </c>
      <c r="B27" s="95" t="s">
        <v>928</v>
      </c>
      <c r="C27" s="98">
        <v>15</v>
      </c>
      <c r="D27" s="98">
        <v>350</v>
      </c>
      <c r="E27" s="98" t="s">
        <v>472</v>
      </c>
      <c r="F27" s="98" t="s">
        <v>676</v>
      </c>
      <c r="G27" s="98" t="s">
        <v>983</v>
      </c>
      <c r="H27" s="98" t="s">
        <v>677</v>
      </c>
      <c r="I27" s="98" t="s">
        <v>588</v>
      </c>
      <c r="J27" s="98" t="s">
        <v>678</v>
      </c>
      <c r="K27" s="98" t="s">
        <v>638</v>
      </c>
      <c r="L27" s="98" t="s">
        <v>550</v>
      </c>
      <c r="M27" s="98" t="s">
        <v>679</v>
      </c>
      <c r="N27" s="98" t="s">
        <v>680</v>
      </c>
      <c r="O27" s="98" t="s">
        <v>681</v>
      </c>
      <c r="P27" s="98" t="s">
        <v>682</v>
      </c>
      <c r="Q27" s="98" t="s">
        <v>683</v>
      </c>
      <c r="R27" s="98" t="s">
        <v>684</v>
      </c>
    </row>
    <row r="28" spans="1:18" ht="12" customHeight="1" x14ac:dyDescent="0.2">
      <c r="A28" s="94">
        <v>25</v>
      </c>
      <c r="B28" s="95" t="s">
        <v>929</v>
      </c>
      <c r="C28" s="98">
        <v>14</v>
      </c>
      <c r="D28" s="98">
        <v>350</v>
      </c>
      <c r="E28" s="98" t="s">
        <v>451</v>
      </c>
      <c r="F28" s="98" t="s">
        <v>685</v>
      </c>
      <c r="G28" s="98" t="s">
        <v>984</v>
      </c>
      <c r="H28" s="98" t="s">
        <v>686</v>
      </c>
      <c r="I28" s="98" t="s">
        <v>568</v>
      </c>
      <c r="J28" s="98" t="s">
        <v>472</v>
      </c>
      <c r="K28" s="98" t="s">
        <v>687</v>
      </c>
      <c r="L28" s="98" t="s">
        <v>524</v>
      </c>
      <c r="M28" s="98" t="s">
        <v>688</v>
      </c>
      <c r="N28" s="98" t="s">
        <v>689</v>
      </c>
      <c r="O28" s="98" t="s">
        <v>690</v>
      </c>
      <c r="P28" s="98" t="s">
        <v>691</v>
      </c>
      <c r="Q28" s="98" t="s">
        <v>692</v>
      </c>
      <c r="R28" s="98" t="s">
        <v>693</v>
      </c>
    </row>
    <row r="29" spans="1:18" ht="12" customHeight="1" x14ac:dyDescent="0.2">
      <c r="A29" s="94">
        <v>26</v>
      </c>
      <c r="B29" s="95" t="s">
        <v>930</v>
      </c>
      <c r="C29" s="98">
        <v>15</v>
      </c>
      <c r="D29" s="98">
        <v>450</v>
      </c>
      <c r="E29" s="98" t="s">
        <v>483</v>
      </c>
      <c r="F29" s="98" t="s">
        <v>501</v>
      </c>
      <c r="G29" s="98" t="s">
        <v>985</v>
      </c>
      <c r="H29" s="98" t="s">
        <v>661</v>
      </c>
      <c r="I29" s="98" t="s">
        <v>551</v>
      </c>
      <c r="J29" s="98" t="s">
        <v>550</v>
      </c>
      <c r="K29" s="98" t="s">
        <v>678</v>
      </c>
      <c r="L29" s="98" t="s">
        <v>513</v>
      </c>
      <c r="M29" s="98" t="s">
        <v>545</v>
      </c>
      <c r="N29" s="98" t="s">
        <v>695</v>
      </c>
      <c r="O29" s="98" t="s">
        <v>696</v>
      </c>
      <c r="P29" s="98" t="s">
        <v>697</v>
      </c>
      <c r="Q29" s="98" t="s">
        <v>698</v>
      </c>
      <c r="R29" s="98" t="s">
        <v>699</v>
      </c>
    </row>
    <row r="30" spans="1:18" ht="12" customHeight="1" x14ac:dyDescent="0.2">
      <c r="A30" s="94">
        <v>27</v>
      </c>
      <c r="B30" s="95" t="s">
        <v>931</v>
      </c>
      <c r="C30" s="98">
        <v>14</v>
      </c>
      <c r="D30" s="98">
        <v>375</v>
      </c>
      <c r="E30" s="98" t="s">
        <v>526</v>
      </c>
      <c r="F30" s="98" t="s">
        <v>699</v>
      </c>
      <c r="G30" s="98" t="s">
        <v>986</v>
      </c>
      <c r="H30" s="98" t="s">
        <v>503</v>
      </c>
      <c r="I30" s="98" t="s">
        <v>700</v>
      </c>
      <c r="J30" s="98" t="s">
        <v>701</v>
      </c>
      <c r="K30" s="98" t="s">
        <v>516</v>
      </c>
      <c r="L30" s="98" t="s">
        <v>569</v>
      </c>
      <c r="M30" s="98" t="s">
        <v>702</v>
      </c>
      <c r="N30" s="98" t="s">
        <v>703</v>
      </c>
      <c r="O30" s="98" t="s">
        <v>704</v>
      </c>
      <c r="P30" s="98" t="s">
        <v>705</v>
      </c>
      <c r="Q30" s="98" t="s">
        <v>706</v>
      </c>
      <c r="R30" s="98" t="s">
        <v>707</v>
      </c>
    </row>
    <row r="31" spans="1:18" ht="12" customHeight="1" x14ac:dyDescent="0.2">
      <c r="A31" s="94">
        <v>28</v>
      </c>
      <c r="B31" s="95" t="s">
        <v>932</v>
      </c>
      <c r="C31" s="98">
        <v>12</v>
      </c>
      <c r="D31" s="98">
        <v>300</v>
      </c>
      <c r="E31" s="98" t="s">
        <v>530</v>
      </c>
      <c r="F31" s="98" t="s">
        <v>708</v>
      </c>
      <c r="G31" s="98" t="s">
        <v>987</v>
      </c>
      <c r="H31" s="98" t="s">
        <v>709</v>
      </c>
      <c r="I31" s="98" t="s">
        <v>710</v>
      </c>
      <c r="J31" s="98" t="s">
        <v>711</v>
      </c>
      <c r="K31" s="98" t="s">
        <v>548</v>
      </c>
      <c r="L31" s="98" t="s">
        <v>526</v>
      </c>
      <c r="M31" s="98" t="s">
        <v>712</v>
      </c>
      <c r="N31" s="98" t="s">
        <v>713</v>
      </c>
      <c r="O31" s="98" t="s">
        <v>714</v>
      </c>
      <c r="P31" s="98" t="s">
        <v>715</v>
      </c>
      <c r="Q31" s="98" t="s">
        <v>716</v>
      </c>
      <c r="R31" s="98" t="s">
        <v>526</v>
      </c>
    </row>
    <row r="32" spans="1:18" ht="12" customHeight="1" x14ac:dyDescent="0.2">
      <c r="A32" s="94">
        <v>29</v>
      </c>
      <c r="B32" s="95" t="s">
        <v>933</v>
      </c>
      <c r="C32" s="98">
        <v>12</v>
      </c>
      <c r="D32" s="98">
        <v>350</v>
      </c>
      <c r="E32" s="98" t="s">
        <v>588</v>
      </c>
      <c r="F32" s="98" t="s">
        <v>717</v>
      </c>
      <c r="G32" s="98" t="s">
        <v>988</v>
      </c>
      <c r="H32" s="98" t="s">
        <v>718</v>
      </c>
      <c r="I32" s="98" t="s">
        <v>719</v>
      </c>
      <c r="J32" s="98" t="s">
        <v>720</v>
      </c>
      <c r="K32" s="98" t="s">
        <v>464</v>
      </c>
      <c r="L32" s="98" t="s">
        <v>464</v>
      </c>
      <c r="M32" s="98" t="s">
        <v>721</v>
      </c>
      <c r="N32" s="98" t="s">
        <v>722</v>
      </c>
      <c r="O32" s="98" t="s">
        <v>723</v>
      </c>
      <c r="P32" s="98" t="s">
        <v>724</v>
      </c>
      <c r="Q32" s="98" t="s">
        <v>725</v>
      </c>
      <c r="R32" s="98" t="s">
        <v>709</v>
      </c>
    </row>
    <row r="33" spans="1:18" ht="12" customHeight="1" x14ac:dyDescent="0.2">
      <c r="A33" s="94">
        <v>30</v>
      </c>
      <c r="B33" s="95" t="s">
        <v>934</v>
      </c>
      <c r="C33" s="98">
        <v>12</v>
      </c>
      <c r="D33" s="98">
        <v>375</v>
      </c>
      <c r="E33" s="98" t="s">
        <v>452</v>
      </c>
      <c r="F33" s="98" t="s">
        <v>726</v>
      </c>
      <c r="G33" s="98" t="s">
        <v>989</v>
      </c>
      <c r="H33" s="98" t="s">
        <v>709</v>
      </c>
      <c r="I33" s="98" t="s">
        <v>701</v>
      </c>
      <c r="J33" s="98" t="s">
        <v>452</v>
      </c>
      <c r="K33" s="98" t="s">
        <v>728</v>
      </c>
      <c r="L33" s="98" t="s">
        <v>474</v>
      </c>
      <c r="M33" s="98" t="s">
        <v>514</v>
      </c>
      <c r="N33" s="98" t="s">
        <v>729</v>
      </c>
      <c r="O33" s="98" t="s">
        <v>730</v>
      </c>
      <c r="P33" s="98" t="s">
        <v>731</v>
      </c>
      <c r="Q33" s="98" t="s">
        <v>732</v>
      </c>
      <c r="R33" s="98" t="s">
        <v>733</v>
      </c>
    </row>
    <row r="34" spans="1:18" ht="12" customHeight="1" x14ac:dyDescent="0.2">
      <c r="A34" s="94">
        <v>31</v>
      </c>
      <c r="B34" s="95" t="s">
        <v>935</v>
      </c>
      <c r="C34" s="98">
        <v>16</v>
      </c>
      <c r="D34" s="98">
        <v>300</v>
      </c>
      <c r="E34" s="98" t="s">
        <v>526</v>
      </c>
      <c r="F34" s="98" t="s">
        <v>734</v>
      </c>
      <c r="G34" s="98" t="s">
        <v>990</v>
      </c>
      <c r="H34" s="98" t="s">
        <v>736</v>
      </c>
      <c r="I34" s="98" t="s">
        <v>737</v>
      </c>
      <c r="J34" s="98" t="s">
        <v>738</v>
      </c>
      <c r="K34" s="98" t="s">
        <v>678</v>
      </c>
      <c r="L34" s="98" t="s">
        <v>550</v>
      </c>
      <c r="M34" s="98" t="s">
        <v>658</v>
      </c>
      <c r="N34" s="98" t="s">
        <v>739</v>
      </c>
      <c r="O34" s="98" t="s">
        <v>740</v>
      </c>
      <c r="P34" s="98" t="s">
        <v>741</v>
      </c>
      <c r="Q34" s="98" t="s">
        <v>742</v>
      </c>
      <c r="R34" s="98" t="s">
        <v>525</v>
      </c>
    </row>
    <row r="35" spans="1:18" ht="12" customHeight="1" x14ac:dyDescent="0.2">
      <c r="A35" s="94">
        <v>32</v>
      </c>
      <c r="B35" s="95" t="s">
        <v>936</v>
      </c>
      <c r="C35" s="98">
        <v>15</v>
      </c>
      <c r="D35" s="98">
        <v>350</v>
      </c>
      <c r="E35" s="98" t="s">
        <v>472</v>
      </c>
      <c r="F35" s="98" t="s">
        <v>743</v>
      </c>
      <c r="G35" s="98" t="s">
        <v>991</v>
      </c>
      <c r="H35" s="98">
        <v>0</v>
      </c>
      <c r="I35" s="98" t="s">
        <v>543</v>
      </c>
      <c r="J35" s="98" t="s">
        <v>612</v>
      </c>
      <c r="K35" s="98" t="s">
        <v>570</v>
      </c>
      <c r="L35" s="98" t="s">
        <v>474</v>
      </c>
      <c r="M35" s="98" t="s">
        <v>744</v>
      </c>
      <c r="N35" s="98" t="s">
        <v>745</v>
      </c>
      <c r="O35" s="98" t="s">
        <v>746</v>
      </c>
      <c r="P35" s="98" t="s">
        <v>747</v>
      </c>
      <c r="Q35" s="98" t="s">
        <v>748</v>
      </c>
      <c r="R35" s="98" t="s">
        <v>633</v>
      </c>
    </row>
    <row r="36" spans="1:18" ht="12" customHeight="1" x14ac:dyDescent="0.2">
      <c r="A36" s="94">
        <v>33</v>
      </c>
      <c r="B36" s="95" t="s">
        <v>937</v>
      </c>
      <c r="C36" s="98">
        <v>17</v>
      </c>
      <c r="D36" s="98">
        <v>500</v>
      </c>
      <c r="E36" s="98" t="s">
        <v>483</v>
      </c>
      <c r="F36" s="98" t="s">
        <v>749</v>
      </c>
      <c r="G36" s="98" t="s">
        <v>991</v>
      </c>
      <c r="H36" s="98" t="s">
        <v>567</v>
      </c>
      <c r="I36" s="98" t="s">
        <v>750</v>
      </c>
      <c r="J36" s="98" t="s">
        <v>483</v>
      </c>
      <c r="K36" s="98" t="s">
        <v>658</v>
      </c>
      <c r="L36" s="98" t="s">
        <v>500</v>
      </c>
      <c r="M36" s="98" t="s">
        <v>751</v>
      </c>
      <c r="N36" s="98" t="s">
        <v>752</v>
      </c>
      <c r="O36" s="98" t="s">
        <v>753</v>
      </c>
      <c r="P36" s="98" t="s">
        <v>611</v>
      </c>
      <c r="Q36" s="98" t="s">
        <v>532</v>
      </c>
      <c r="R36" s="98" t="s">
        <v>754</v>
      </c>
    </row>
    <row r="37" spans="1:18" ht="12" customHeight="1" x14ac:dyDescent="0.2">
      <c r="A37" s="94">
        <v>34</v>
      </c>
      <c r="B37" s="96" t="s">
        <v>938</v>
      </c>
      <c r="C37" s="98">
        <v>20</v>
      </c>
      <c r="D37" s="98">
        <v>650</v>
      </c>
      <c r="E37" s="98" t="s">
        <v>709</v>
      </c>
      <c r="F37" s="98" t="s">
        <v>755</v>
      </c>
      <c r="G37" s="98" t="s">
        <v>992</v>
      </c>
      <c r="H37" s="98" t="s">
        <v>502</v>
      </c>
      <c r="I37" s="98" t="s">
        <v>466</v>
      </c>
      <c r="J37" s="98" t="s">
        <v>756</v>
      </c>
      <c r="K37" s="98" t="s">
        <v>757</v>
      </c>
      <c r="L37" s="98" t="s">
        <v>758</v>
      </c>
      <c r="M37" s="98" t="s">
        <v>759</v>
      </c>
      <c r="N37" s="98" t="s">
        <v>760</v>
      </c>
      <c r="O37" s="98" t="s">
        <v>761</v>
      </c>
      <c r="P37" s="98" t="s">
        <v>762</v>
      </c>
      <c r="Q37" s="98" t="s">
        <v>763</v>
      </c>
      <c r="R37" s="98" t="s">
        <v>764</v>
      </c>
    </row>
    <row r="38" spans="1:18" ht="12" customHeight="1" x14ac:dyDescent="0.2">
      <c r="A38" s="94">
        <v>35</v>
      </c>
      <c r="B38" s="96" t="s">
        <v>939</v>
      </c>
      <c r="C38" s="98">
        <v>10</v>
      </c>
      <c r="D38" s="98">
        <v>250</v>
      </c>
      <c r="E38" s="98" t="s">
        <v>530</v>
      </c>
      <c r="F38" s="98" t="s">
        <v>765</v>
      </c>
      <c r="G38" s="98" t="s">
        <v>993</v>
      </c>
      <c r="H38" s="98" t="s">
        <v>485</v>
      </c>
      <c r="I38" s="98" t="s">
        <v>766</v>
      </c>
      <c r="J38" s="98" t="s">
        <v>485</v>
      </c>
      <c r="K38" s="98" t="s">
        <v>767</v>
      </c>
      <c r="L38" s="98" t="s">
        <v>565</v>
      </c>
      <c r="M38" s="98" t="s">
        <v>768</v>
      </c>
      <c r="N38" s="98" t="s">
        <v>769</v>
      </c>
      <c r="O38" s="98" t="s">
        <v>770</v>
      </c>
      <c r="P38" s="98" t="s">
        <v>771</v>
      </c>
      <c r="Q38" s="98" t="s">
        <v>772</v>
      </c>
      <c r="R38" s="98" t="s">
        <v>773</v>
      </c>
    </row>
    <row r="39" spans="1:18" ht="12" customHeight="1" x14ac:dyDescent="0.2">
      <c r="A39" s="94">
        <v>36</v>
      </c>
      <c r="B39" s="96" t="s">
        <v>940</v>
      </c>
      <c r="C39" s="98">
        <v>16</v>
      </c>
      <c r="D39" s="98">
        <v>400</v>
      </c>
      <c r="E39" s="98" t="s">
        <v>524</v>
      </c>
      <c r="F39" s="98" t="s">
        <v>774</v>
      </c>
      <c r="G39" s="98" t="s">
        <v>964</v>
      </c>
      <c r="H39" s="98" t="s">
        <v>464</v>
      </c>
      <c r="I39" s="98" t="s">
        <v>775</v>
      </c>
      <c r="J39" s="98" t="s">
        <v>464</v>
      </c>
      <c r="K39" s="98" t="s">
        <v>776</v>
      </c>
      <c r="L39" s="98" t="s">
        <v>464</v>
      </c>
      <c r="M39" s="98" t="s">
        <v>777</v>
      </c>
      <c r="N39" s="98" t="s">
        <v>778</v>
      </c>
      <c r="O39" s="98" t="s">
        <v>779</v>
      </c>
      <c r="P39" s="98" t="s">
        <v>780</v>
      </c>
      <c r="Q39" s="98" t="s">
        <v>781</v>
      </c>
      <c r="R39" s="98" t="s">
        <v>777</v>
      </c>
    </row>
    <row r="40" spans="1:18" ht="12" customHeight="1" x14ac:dyDescent="0.2">
      <c r="A40" s="94">
        <v>37</v>
      </c>
      <c r="B40" s="96" t="s">
        <v>941</v>
      </c>
      <c r="C40" s="98">
        <v>8</v>
      </c>
      <c r="D40" s="98">
        <v>300</v>
      </c>
      <c r="E40" s="98" t="s">
        <v>565</v>
      </c>
      <c r="F40" s="98" t="s">
        <v>782</v>
      </c>
      <c r="G40" s="98" t="s">
        <v>994</v>
      </c>
      <c r="H40" s="98">
        <v>0</v>
      </c>
      <c r="I40" s="98" t="s">
        <v>784</v>
      </c>
      <c r="J40" s="98" t="s">
        <v>503</v>
      </c>
      <c r="K40" s="98" t="s">
        <v>615</v>
      </c>
      <c r="L40" s="98" t="s">
        <v>464</v>
      </c>
      <c r="M40" s="98" t="s">
        <v>750</v>
      </c>
      <c r="N40" s="98" t="s">
        <v>785</v>
      </c>
      <c r="O40" s="98" t="s">
        <v>786</v>
      </c>
      <c r="P40" s="98" t="s">
        <v>787</v>
      </c>
      <c r="Q40" s="98" t="s">
        <v>788</v>
      </c>
      <c r="R40" s="98" t="s">
        <v>789</v>
      </c>
    </row>
    <row r="41" spans="1:18" ht="12" customHeight="1" x14ac:dyDescent="0.2">
      <c r="A41" s="94">
        <v>38</v>
      </c>
      <c r="B41" s="96" t="s">
        <v>942</v>
      </c>
      <c r="C41" s="98">
        <v>10</v>
      </c>
      <c r="D41" s="98">
        <v>250</v>
      </c>
      <c r="E41" s="98" t="s">
        <v>526</v>
      </c>
      <c r="F41" s="98" t="s">
        <v>750</v>
      </c>
      <c r="G41" s="98" t="s">
        <v>995</v>
      </c>
      <c r="H41" s="98" t="s">
        <v>790</v>
      </c>
      <c r="I41" s="98" t="s">
        <v>791</v>
      </c>
      <c r="J41" s="98" t="s">
        <v>684</v>
      </c>
      <c r="K41" s="98" t="s">
        <v>792</v>
      </c>
      <c r="L41" s="98" t="s">
        <v>485</v>
      </c>
      <c r="M41" s="98" t="s">
        <v>793</v>
      </c>
      <c r="N41" s="98" t="s">
        <v>794</v>
      </c>
      <c r="O41" s="98" t="s">
        <v>795</v>
      </c>
      <c r="P41" s="98" t="s">
        <v>796</v>
      </c>
      <c r="Q41" s="98" t="s">
        <v>797</v>
      </c>
      <c r="R41" s="98" t="s">
        <v>798</v>
      </c>
    </row>
    <row r="42" spans="1:18" ht="12" customHeight="1" x14ac:dyDescent="0.2">
      <c r="A42" s="94">
        <v>39</v>
      </c>
      <c r="B42" s="96" t="s">
        <v>943</v>
      </c>
      <c r="C42" s="98">
        <v>12</v>
      </c>
      <c r="D42" s="98">
        <v>280</v>
      </c>
      <c r="E42" s="98" t="s">
        <v>526</v>
      </c>
      <c r="F42" s="98" t="s">
        <v>590</v>
      </c>
      <c r="G42" s="98" t="s">
        <v>996</v>
      </c>
      <c r="H42" s="98" t="s">
        <v>799</v>
      </c>
      <c r="I42" s="98" t="s">
        <v>800</v>
      </c>
      <c r="J42" s="98" t="s">
        <v>677</v>
      </c>
      <c r="K42" s="98" t="s">
        <v>659</v>
      </c>
      <c r="L42" s="98" t="s">
        <v>569</v>
      </c>
      <c r="M42" s="98" t="s">
        <v>801</v>
      </c>
      <c r="N42" s="98" t="s">
        <v>802</v>
      </c>
      <c r="O42" s="98" t="s">
        <v>803</v>
      </c>
      <c r="P42" s="98" t="s">
        <v>804</v>
      </c>
      <c r="Q42" s="98" t="s">
        <v>805</v>
      </c>
      <c r="R42" s="98" t="s">
        <v>806</v>
      </c>
    </row>
    <row r="43" spans="1:18" ht="12" customHeight="1" x14ac:dyDescent="0.2">
      <c r="A43" s="94">
        <v>40</v>
      </c>
      <c r="B43" s="96" t="s">
        <v>944</v>
      </c>
      <c r="C43" s="98">
        <v>20</v>
      </c>
      <c r="D43" s="98">
        <v>500</v>
      </c>
      <c r="E43" s="98" t="s">
        <v>807</v>
      </c>
      <c r="F43" s="98" t="s">
        <v>808</v>
      </c>
      <c r="G43" s="98" t="s">
        <v>997</v>
      </c>
      <c r="H43" s="98" t="s">
        <v>500</v>
      </c>
      <c r="I43" s="98" t="s">
        <v>766</v>
      </c>
      <c r="J43" s="98" t="s">
        <v>728</v>
      </c>
      <c r="K43" s="98" t="s">
        <v>587</v>
      </c>
      <c r="L43" s="98" t="s">
        <v>565</v>
      </c>
      <c r="M43" s="98" t="s">
        <v>506</v>
      </c>
      <c r="N43" s="98" t="s">
        <v>809</v>
      </c>
      <c r="O43" s="98" t="s">
        <v>810</v>
      </c>
      <c r="P43" s="98" t="s">
        <v>811</v>
      </c>
      <c r="Q43" s="98" t="s">
        <v>812</v>
      </c>
      <c r="R43" s="98" t="s">
        <v>813</v>
      </c>
    </row>
    <row r="44" spans="1:18" ht="12" customHeight="1" x14ac:dyDescent="0.2">
      <c r="A44" s="94">
        <v>41</v>
      </c>
      <c r="B44" s="96" t="s">
        <v>945</v>
      </c>
      <c r="C44" s="98">
        <v>15</v>
      </c>
      <c r="D44" s="98">
        <v>325</v>
      </c>
      <c r="E44" s="98" t="s">
        <v>451</v>
      </c>
      <c r="F44" s="98" t="s">
        <v>814</v>
      </c>
      <c r="G44" s="98" t="s">
        <v>998</v>
      </c>
      <c r="H44" s="98" t="s">
        <v>527</v>
      </c>
      <c r="I44" s="98" t="s">
        <v>502</v>
      </c>
      <c r="J44" s="98" t="s">
        <v>815</v>
      </c>
      <c r="K44" s="98" t="s">
        <v>580</v>
      </c>
      <c r="L44" s="98" t="s">
        <v>464</v>
      </c>
      <c r="M44" s="98" t="s">
        <v>816</v>
      </c>
      <c r="N44" s="98" t="s">
        <v>817</v>
      </c>
      <c r="O44" s="98" t="s">
        <v>818</v>
      </c>
      <c r="P44" s="98" t="s">
        <v>819</v>
      </c>
      <c r="Q44" s="98" t="s">
        <v>820</v>
      </c>
      <c r="R44" s="98" t="s">
        <v>821</v>
      </c>
    </row>
    <row r="45" spans="1:18" ht="12" customHeight="1" x14ac:dyDescent="0.2">
      <c r="A45" s="94">
        <v>42</v>
      </c>
      <c r="B45" s="96" t="s">
        <v>946</v>
      </c>
      <c r="C45" s="98">
        <v>10</v>
      </c>
      <c r="D45" s="98">
        <v>250</v>
      </c>
      <c r="E45" s="98" t="s">
        <v>526</v>
      </c>
      <c r="F45" s="98" t="s">
        <v>559</v>
      </c>
      <c r="G45" s="98" t="s">
        <v>999</v>
      </c>
      <c r="H45" s="98" t="s">
        <v>503</v>
      </c>
      <c r="I45" s="98" t="s">
        <v>482</v>
      </c>
      <c r="J45" s="98" t="s">
        <v>649</v>
      </c>
      <c r="K45" s="98" t="s">
        <v>546</v>
      </c>
      <c r="L45" s="98" t="s">
        <v>550</v>
      </c>
      <c r="M45" s="98" t="s">
        <v>461</v>
      </c>
      <c r="N45" s="98" t="s">
        <v>489</v>
      </c>
      <c r="O45" s="98" t="s">
        <v>822</v>
      </c>
      <c r="P45" s="98" t="s">
        <v>823</v>
      </c>
      <c r="Q45" s="98" t="s">
        <v>610</v>
      </c>
      <c r="R45" s="98" t="s">
        <v>466</v>
      </c>
    </row>
    <row r="46" spans="1:18" ht="12" customHeight="1" x14ac:dyDescent="0.2">
      <c r="A46" s="94">
        <v>43</v>
      </c>
      <c r="B46" s="96" t="s">
        <v>947</v>
      </c>
      <c r="C46" s="98">
        <v>15</v>
      </c>
      <c r="D46" s="98">
        <v>350</v>
      </c>
      <c r="E46" s="98" t="s">
        <v>451</v>
      </c>
      <c r="F46" s="98" t="s">
        <v>824</v>
      </c>
      <c r="G46" s="98" t="s">
        <v>1000</v>
      </c>
      <c r="H46" s="98" t="s">
        <v>758</v>
      </c>
      <c r="I46" s="98" t="s">
        <v>825</v>
      </c>
      <c r="J46" s="98" t="s">
        <v>670</v>
      </c>
      <c r="K46" s="98" t="s">
        <v>800</v>
      </c>
      <c r="L46" s="98" t="s">
        <v>485</v>
      </c>
      <c r="M46" s="98" t="s">
        <v>622</v>
      </c>
      <c r="N46" s="98" t="s">
        <v>826</v>
      </c>
      <c r="O46" s="98" t="s">
        <v>827</v>
      </c>
      <c r="P46" s="98" t="s">
        <v>828</v>
      </c>
      <c r="Q46" s="98" t="s">
        <v>829</v>
      </c>
      <c r="R46" s="98" t="s">
        <v>451</v>
      </c>
    </row>
    <row r="47" spans="1:18" ht="12" customHeight="1" x14ac:dyDescent="0.2">
      <c r="A47" s="94">
        <v>44</v>
      </c>
      <c r="B47" s="96" t="s">
        <v>948</v>
      </c>
      <c r="C47" s="98">
        <v>12</v>
      </c>
      <c r="D47" s="98">
        <v>300</v>
      </c>
      <c r="E47" s="98" t="s">
        <v>530</v>
      </c>
      <c r="F47" s="98" t="s">
        <v>830</v>
      </c>
      <c r="G47" s="98" t="s">
        <v>1001</v>
      </c>
      <c r="H47" s="98" t="s">
        <v>825</v>
      </c>
      <c r="I47" s="98" t="s">
        <v>831</v>
      </c>
      <c r="J47" s="98" t="s">
        <v>701</v>
      </c>
      <c r="K47" s="98" t="s">
        <v>599</v>
      </c>
      <c r="L47" s="98" t="s">
        <v>569</v>
      </c>
      <c r="M47" s="98" t="s">
        <v>832</v>
      </c>
      <c r="N47" s="98" t="s">
        <v>833</v>
      </c>
      <c r="O47" s="98" t="s">
        <v>834</v>
      </c>
      <c r="P47" s="98" t="s">
        <v>835</v>
      </c>
      <c r="Q47" s="98" t="s">
        <v>836</v>
      </c>
      <c r="R47" s="98" t="s">
        <v>837</v>
      </c>
    </row>
    <row r="48" spans="1:18" ht="12" customHeight="1" x14ac:dyDescent="0.2">
      <c r="A48" s="94">
        <v>45</v>
      </c>
      <c r="B48" s="96" t="s">
        <v>949</v>
      </c>
      <c r="C48" s="98">
        <v>14</v>
      </c>
      <c r="D48" s="98">
        <v>350</v>
      </c>
      <c r="E48" s="98" t="s">
        <v>451</v>
      </c>
      <c r="F48" s="98" t="s">
        <v>838</v>
      </c>
      <c r="G48" s="98" t="s">
        <v>1002</v>
      </c>
      <c r="H48" s="98" t="s">
        <v>543</v>
      </c>
      <c r="I48" s="98" t="s">
        <v>839</v>
      </c>
      <c r="J48" s="98" t="s">
        <v>565</v>
      </c>
      <c r="K48" s="98" t="s">
        <v>720</v>
      </c>
      <c r="L48" s="98" t="s">
        <v>550</v>
      </c>
      <c r="M48" s="98" t="s">
        <v>840</v>
      </c>
      <c r="N48" s="98" t="s">
        <v>841</v>
      </c>
      <c r="O48" s="98" t="s">
        <v>842</v>
      </c>
      <c r="P48" s="98" t="s">
        <v>843</v>
      </c>
      <c r="Q48" s="98" t="s">
        <v>844</v>
      </c>
      <c r="R48" s="98" t="s">
        <v>845</v>
      </c>
    </row>
    <row r="49" spans="1:18" ht="12" customHeight="1" x14ac:dyDescent="0.2">
      <c r="A49" s="94">
        <v>46</v>
      </c>
      <c r="B49" s="96" t="s">
        <v>950</v>
      </c>
      <c r="C49" s="98">
        <v>10</v>
      </c>
      <c r="D49" s="98">
        <v>300</v>
      </c>
      <c r="E49" s="98" t="s">
        <v>565</v>
      </c>
      <c r="F49" s="98" t="s">
        <v>783</v>
      </c>
      <c r="G49" s="98" t="s">
        <v>1003</v>
      </c>
      <c r="H49" s="98">
        <v>0</v>
      </c>
      <c r="I49" s="98" t="s">
        <v>659</v>
      </c>
      <c r="J49" s="98" t="s">
        <v>846</v>
      </c>
      <c r="K49" s="98" t="s">
        <v>710</v>
      </c>
      <c r="L49" s="98" t="s">
        <v>485</v>
      </c>
      <c r="M49" s="98" t="s">
        <v>518</v>
      </c>
      <c r="N49" s="98" t="s">
        <v>847</v>
      </c>
      <c r="O49" s="98" t="s">
        <v>848</v>
      </c>
      <c r="P49" s="98" t="s">
        <v>849</v>
      </c>
      <c r="Q49" s="98" t="s">
        <v>850</v>
      </c>
      <c r="R49" s="98" t="s">
        <v>851</v>
      </c>
    </row>
    <row r="50" spans="1:18" ht="12" customHeight="1" x14ac:dyDescent="0.2">
      <c r="A50" s="94">
        <v>47</v>
      </c>
      <c r="B50" s="96" t="s">
        <v>951</v>
      </c>
      <c r="C50" s="98">
        <v>14</v>
      </c>
      <c r="D50" s="98">
        <v>360</v>
      </c>
      <c r="E50" s="98" t="s">
        <v>472</v>
      </c>
      <c r="F50" s="98" t="s">
        <v>852</v>
      </c>
      <c r="G50" s="98" t="s">
        <v>1004</v>
      </c>
      <c r="H50" s="98">
        <v>0</v>
      </c>
      <c r="I50" s="98" t="s">
        <v>766</v>
      </c>
      <c r="J50" s="98">
        <v>0</v>
      </c>
      <c r="K50" s="98" t="s">
        <v>694</v>
      </c>
      <c r="L50" s="98" t="s">
        <v>853</v>
      </c>
      <c r="M50" s="98" t="s">
        <v>816</v>
      </c>
      <c r="N50" s="98" t="s">
        <v>854</v>
      </c>
      <c r="O50" s="98" t="s">
        <v>855</v>
      </c>
      <c r="P50" s="98" t="s">
        <v>856</v>
      </c>
      <c r="Q50" s="98" t="s">
        <v>857</v>
      </c>
      <c r="R50" s="98" t="s">
        <v>858</v>
      </c>
    </row>
    <row r="51" spans="1:18" ht="12" customHeight="1" x14ac:dyDescent="0.2">
      <c r="A51" s="94">
        <v>48</v>
      </c>
      <c r="B51" s="96" t="s">
        <v>952</v>
      </c>
      <c r="C51" s="98">
        <v>16</v>
      </c>
      <c r="D51" s="98">
        <v>400</v>
      </c>
      <c r="E51" s="98" t="s">
        <v>535</v>
      </c>
      <c r="F51" s="98" t="s">
        <v>859</v>
      </c>
      <c r="G51" s="98" t="s">
        <v>1005</v>
      </c>
      <c r="H51" s="98" t="s">
        <v>735</v>
      </c>
      <c r="I51" s="98" t="s">
        <v>860</v>
      </c>
      <c r="J51" s="98" t="s">
        <v>463</v>
      </c>
      <c r="K51" s="98" t="s">
        <v>570</v>
      </c>
      <c r="L51" s="98" t="s">
        <v>485</v>
      </c>
      <c r="M51" s="98" t="s">
        <v>861</v>
      </c>
      <c r="N51" s="98" t="s">
        <v>862</v>
      </c>
      <c r="O51" s="98" t="s">
        <v>863</v>
      </c>
      <c r="P51" s="98" t="s">
        <v>864</v>
      </c>
      <c r="Q51" s="98" t="s">
        <v>865</v>
      </c>
      <c r="R51" s="98" t="s">
        <v>501</v>
      </c>
    </row>
    <row r="52" spans="1:18" ht="12" customHeight="1" x14ac:dyDescent="0.2">
      <c r="A52" s="94">
        <v>49</v>
      </c>
      <c r="B52" s="96" t="s">
        <v>953</v>
      </c>
      <c r="C52" s="98">
        <v>18</v>
      </c>
      <c r="D52" s="98">
        <v>476</v>
      </c>
      <c r="E52" s="98" t="s">
        <v>543</v>
      </c>
      <c r="F52" s="98" t="s">
        <v>866</v>
      </c>
      <c r="G52" s="98" t="s">
        <v>1006</v>
      </c>
      <c r="H52" s="98" t="s">
        <v>867</v>
      </c>
      <c r="I52" s="98" t="s">
        <v>656</v>
      </c>
      <c r="J52" s="98" t="s">
        <v>727</v>
      </c>
      <c r="K52" s="98" t="s">
        <v>675</v>
      </c>
      <c r="L52" s="98" t="s">
        <v>569</v>
      </c>
      <c r="M52" s="98" t="s">
        <v>868</v>
      </c>
      <c r="N52" s="98" t="s">
        <v>869</v>
      </c>
      <c r="O52" s="98" t="s">
        <v>870</v>
      </c>
      <c r="P52" s="98" t="s">
        <v>871</v>
      </c>
      <c r="Q52" s="98" t="s">
        <v>872</v>
      </c>
      <c r="R52" s="98" t="s">
        <v>873</v>
      </c>
    </row>
    <row r="53" spans="1:18" ht="12" customHeight="1" x14ac:dyDescent="0.2">
      <c r="A53" s="94">
        <v>50</v>
      </c>
      <c r="B53" s="96" t="s">
        <v>954</v>
      </c>
      <c r="C53" s="98">
        <v>10</v>
      </c>
      <c r="D53" s="98">
        <v>350</v>
      </c>
      <c r="E53" s="98" t="s">
        <v>530</v>
      </c>
      <c r="F53" s="98" t="s">
        <v>874</v>
      </c>
      <c r="G53" s="98" t="s">
        <v>1007</v>
      </c>
      <c r="H53" s="98" t="s">
        <v>476</v>
      </c>
      <c r="I53" s="98" t="s">
        <v>482</v>
      </c>
      <c r="J53" s="98" t="s">
        <v>650</v>
      </c>
      <c r="K53" s="98" t="s">
        <v>548</v>
      </c>
      <c r="L53" s="98" t="s">
        <v>524</v>
      </c>
      <c r="M53" s="98" t="s">
        <v>875</v>
      </c>
      <c r="N53" s="98" t="s">
        <v>876</v>
      </c>
      <c r="O53" s="98" t="s">
        <v>877</v>
      </c>
      <c r="P53" s="98" t="s">
        <v>878</v>
      </c>
      <c r="Q53" s="98" t="s">
        <v>879</v>
      </c>
      <c r="R53" s="98" t="s">
        <v>880</v>
      </c>
    </row>
    <row r="54" spans="1:18" ht="12" customHeight="1" x14ac:dyDescent="0.2">
      <c r="A54" s="94">
        <v>51</v>
      </c>
      <c r="B54" s="96" t="s">
        <v>955</v>
      </c>
      <c r="C54" s="98">
        <v>15</v>
      </c>
      <c r="D54" s="98">
        <v>350</v>
      </c>
      <c r="E54" s="98" t="s">
        <v>472</v>
      </c>
      <c r="F54" s="98" t="s">
        <v>685</v>
      </c>
      <c r="G54" s="98" t="s">
        <v>1008</v>
      </c>
      <c r="H54" s="98" t="s">
        <v>506</v>
      </c>
      <c r="I54" s="98" t="s">
        <v>881</v>
      </c>
      <c r="J54" s="98" t="s">
        <v>790</v>
      </c>
      <c r="K54" s="98" t="s">
        <v>882</v>
      </c>
      <c r="L54" s="98" t="s">
        <v>452</v>
      </c>
      <c r="M54" s="98" t="s">
        <v>883</v>
      </c>
      <c r="N54" s="98" t="s">
        <v>884</v>
      </c>
      <c r="O54" s="98" t="s">
        <v>885</v>
      </c>
      <c r="P54" s="98" t="s">
        <v>886</v>
      </c>
      <c r="Q54" s="98" t="s">
        <v>887</v>
      </c>
      <c r="R54" s="98" t="s">
        <v>888</v>
      </c>
    </row>
    <row r="55" spans="1:18" s="73" customFormat="1" ht="12" customHeight="1" x14ac:dyDescent="0.2">
      <c r="A55" s="100"/>
      <c r="B55" s="100" t="s">
        <v>0</v>
      </c>
      <c r="C55" s="101">
        <v>736</v>
      </c>
      <c r="D55" s="101">
        <v>19196</v>
      </c>
      <c r="E55" s="101" t="s">
        <v>889</v>
      </c>
      <c r="F55" s="101" t="s">
        <v>890</v>
      </c>
      <c r="G55" s="101" t="s">
        <v>1009</v>
      </c>
      <c r="H55" s="101" t="s">
        <v>891</v>
      </c>
      <c r="I55" s="101" t="s">
        <v>892</v>
      </c>
      <c r="J55" s="101" t="s">
        <v>893</v>
      </c>
      <c r="K55" s="101" t="s">
        <v>894</v>
      </c>
      <c r="L55" s="101" t="s">
        <v>895</v>
      </c>
      <c r="M55" s="101" t="s">
        <v>896</v>
      </c>
      <c r="N55" s="101" t="s">
        <v>897</v>
      </c>
      <c r="O55" s="101" t="s">
        <v>898</v>
      </c>
      <c r="P55" s="101" t="s">
        <v>899</v>
      </c>
      <c r="Q55" s="101" t="s">
        <v>900</v>
      </c>
      <c r="R55" s="101" t="s">
        <v>901</v>
      </c>
    </row>
    <row r="56" spans="1:18" x14ac:dyDescent="0.2">
      <c r="I56" s="73" t="s">
        <v>375</v>
      </c>
    </row>
  </sheetData>
  <mergeCells count="4">
    <mergeCell ref="C2:D2"/>
    <mergeCell ref="E2:L2"/>
    <mergeCell ref="M2:R2"/>
    <mergeCell ref="A1:R1"/>
  </mergeCells>
  <pageMargins left="1.45" right="0.7" top="0.25" bottom="0.25" header="0.3" footer="0.3"/>
  <pageSetup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5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K7" sqref="K7"/>
    </sheetView>
  </sheetViews>
  <sheetFormatPr baseColWidth="10" defaultColWidth="9.19921875" defaultRowHeight="13" x14ac:dyDescent="0.2"/>
  <cols>
    <col min="1" max="1" width="4.19921875" style="72" customWidth="1"/>
    <col min="2" max="2" width="30.19921875" style="72" customWidth="1"/>
    <col min="3" max="3" width="10" style="72" customWidth="1"/>
    <col min="4" max="4" width="10" style="135" customWidth="1"/>
    <col min="5" max="5" width="9.59765625" style="72" customWidth="1"/>
    <col min="6" max="6" width="9.19921875" style="135"/>
    <col min="7" max="7" width="8.3984375" style="72" customWidth="1"/>
    <col min="8" max="8" width="9.19921875" style="135"/>
    <col min="9" max="9" width="8" style="72" bestFit="1" customWidth="1"/>
    <col min="10" max="10" width="9.19921875" style="135"/>
    <col min="11" max="11" width="18.3984375" style="72" customWidth="1"/>
    <col min="12" max="16384" width="9.19921875" style="72"/>
  </cols>
  <sheetData>
    <row r="1" spans="1:10" ht="18" x14ac:dyDescent="0.2">
      <c r="A1" s="403" t="s">
        <v>1027</v>
      </c>
      <c r="B1" s="403"/>
      <c r="C1" s="403"/>
      <c r="D1" s="403"/>
      <c r="E1" s="403"/>
      <c r="F1" s="403"/>
      <c r="G1" s="403"/>
      <c r="H1" s="403"/>
      <c r="I1" s="403"/>
      <c r="J1" s="403"/>
    </row>
    <row r="2" spans="1:10" ht="18" x14ac:dyDescent="0.2">
      <c r="A2" s="226"/>
      <c r="B2" s="226"/>
      <c r="C2" s="226"/>
      <c r="D2" s="226"/>
      <c r="E2" s="226"/>
      <c r="F2" s="226"/>
      <c r="G2" s="226"/>
      <c r="H2" s="226"/>
      <c r="I2" s="226"/>
      <c r="J2" s="226"/>
    </row>
    <row r="3" spans="1:10" x14ac:dyDescent="0.2">
      <c r="A3" s="88" t="s">
        <v>381</v>
      </c>
      <c r="B3" s="88"/>
      <c r="H3" s="495" t="s">
        <v>439</v>
      </c>
      <c r="I3" s="495"/>
      <c r="J3" s="495"/>
    </row>
    <row r="4" spans="1:10" x14ac:dyDescent="0.2">
      <c r="A4" s="496" t="s">
        <v>110</v>
      </c>
      <c r="B4" s="497" t="s">
        <v>94</v>
      </c>
      <c r="C4" s="499" t="s">
        <v>247</v>
      </c>
      <c r="D4" s="499"/>
      <c r="E4" s="499" t="s">
        <v>248</v>
      </c>
      <c r="F4" s="499"/>
      <c r="G4" s="499" t="s">
        <v>249</v>
      </c>
      <c r="H4" s="499"/>
      <c r="I4" s="499" t="s">
        <v>1</v>
      </c>
      <c r="J4" s="499"/>
    </row>
    <row r="5" spans="1:10" ht="20" customHeight="1" x14ac:dyDescent="0.2">
      <c r="A5" s="496"/>
      <c r="B5" s="498"/>
      <c r="C5" s="229" t="s">
        <v>250</v>
      </c>
      <c r="D5" s="228" t="s">
        <v>93</v>
      </c>
      <c r="E5" s="229" t="s">
        <v>250</v>
      </c>
      <c r="F5" s="228" t="s">
        <v>93</v>
      </c>
      <c r="G5" s="229" t="s">
        <v>250</v>
      </c>
      <c r="H5" s="228" t="s">
        <v>93</v>
      </c>
      <c r="I5" s="229" t="s">
        <v>250</v>
      </c>
      <c r="J5" s="228" t="s">
        <v>93</v>
      </c>
    </row>
    <row r="6" spans="1:10" x14ac:dyDescent="0.2">
      <c r="A6" s="488" t="s">
        <v>220</v>
      </c>
      <c r="B6" s="489"/>
      <c r="C6" s="489"/>
      <c r="D6" s="489"/>
      <c r="E6" s="489"/>
      <c r="F6" s="489"/>
      <c r="G6" s="489"/>
      <c r="H6" s="489"/>
      <c r="I6" s="489"/>
      <c r="J6" s="490"/>
    </row>
    <row r="7" spans="1:10" x14ac:dyDescent="0.2">
      <c r="A7" s="244">
        <v>1</v>
      </c>
      <c r="B7" s="245" t="s">
        <v>51</v>
      </c>
      <c r="C7" s="246">
        <v>2220</v>
      </c>
      <c r="D7" s="246">
        <v>4.93</v>
      </c>
      <c r="E7" s="246">
        <v>3805</v>
      </c>
      <c r="F7" s="246">
        <v>109.67</v>
      </c>
      <c r="G7" s="246">
        <v>2860</v>
      </c>
      <c r="H7" s="246">
        <v>245.02</v>
      </c>
      <c r="I7" s="246">
        <f t="shared" ref="I7:I18" si="0">C7+E7+G7</f>
        <v>8885</v>
      </c>
      <c r="J7" s="246">
        <f t="shared" ref="J7:J18" si="1">D7+F7+H7</f>
        <v>359.62</v>
      </c>
    </row>
    <row r="8" spans="1:10" x14ac:dyDescent="0.2">
      <c r="A8" s="244">
        <v>2</v>
      </c>
      <c r="B8" s="245" t="s">
        <v>52</v>
      </c>
      <c r="C8" s="246">
        <v>92213</v>
      </c>
      <c r="D8" s="246">
        <v>84.53</v>
      </c>
      <c r="E8" s="246">
        <v>21286</v>
      </c>
      <c r="F8" s="246">
        <v>326.88</v>
      </c>
      <c r="G8" s="246">
        <v>2731</v>
      </c>
      <c r="H8" s="246">
        <v>143.85</v>
      </c>
      <c r="I8" s="246">
        <f t="shared" si="0"/>
        <v>116230</v>
      </c>
      <c r="J8" s="246">
        <f t="shared" si="1"/>
        <v>555.26</v>
      </c>
    </row>
    <row r="9" spans="1:10" x14ac:dyDescent="0.2">
      <c r="A9" s="244">
        <v>3</v>
      </c>
      <c r="B9" s="245" t="s">
        <v>53</v>
      </c>
      <c r="C9" s="246">
        <v>54047</v>
      </c>
      <c r="D9" s="246">
        <v>131.22</v>
      </c>
      <c r="E9" s="246">
        <v>4123</v>
      </c>
      <c r="F9" s="246">
        <v>63.77</v>
      </c>
      <c r="G9" s="246">
        <v>358</v>
      </c>
      <c r="H9" s="246">
        <v>27.53</v>
      </c>
      <c r="I9" s="246">
        <f t="shared" si="0"/>
        <v>58528</v>
      </c>
      <c r="J9" s="246">
        <f t="shared" si="1"/>
        <v>222.52</v>
      </c>
    </row>
    <row r="10" spans="1:10" x14ac:dyDescent="0.2">
      <c r="A10" s="244">
        <v>4</v>
      </c>
      <c r="B10" s="245" t="s">
        <v>54</v>
      </c>
      <c r="C10" s="246">
        <v>27928</v>
      </c>
      <c r="D10" s="246">
        <v>36.78</v>
      </c>
      <c r="E10" s="246">
        <v>7477</v>
      </c>
      <c r="F10" s="246">
        <v>186.67</v>
      </c>
      <c r="G10" s="246">
        <v>2164</v>
      </c>
      <c r="H10" s="246">
        <v>177.23</v>
      </c>
      <c r="I10" s="246">
        <f t="shared" si="0"/>
        <v>37569</v>
      </c>
      <c r="J10" s="246">
        <f t="shared" si="1"/>
        <v>400.67999999999995</v>
      </c>
    </row>
    <row r="11" spans="1:10" x14ac:dyDescent="0.2">
      <c r="A11" s="244">
        <v>5</v>
      </c>
      <c r="B11" s="245" t="s">
        <v>55</v>
      </c>
      <c r="C11" s="246">
        <v>70805</v>
      </c>
      <c r="D11" s="246">
        <v>64.540000000000006</v>
      </c>
      <c r="E11" s="246">
        <v>15787</v>
      </c>
      <c r="F11" s="246">
        <v>262.99</v>
      </c>
      <c r="G11" s="246">
        <v>3361</v>
      </c>
      <c r="H11" s="246">
        <v>233.65</v>
      </c>
      <c r="I11" s="246">
        <f t="shared" si="0"/>
        <v>89953</v>
      </c>
      <c r="J11" s="246">
        <f t="shared" si="1"/>
        <v>561.18000000000006</v>
      </c>
    </row>
    <row r="12" spans="1:10" x14ac:dyDescent="0.2">
      <c r="A12" s="244">
        <v>6</v>
      </c>
      <c r="B12" s="245" t="s">
        <v>56</v>
      </c>
      <c r="C12" s="246">
        <v>42466</v>
      </c>
      <c r="D12" s="246">
        <v>98.42</v>
      </c>
      <c r="E12" s="246">
        <v>2805</v>
      </c>
      <c r="F12" s="246">
        <v>44.01</v>
      </c>
      <c r="G12" s="246">
        <v>283</v>
      </c>
      <c r="H12" s="246">
        <v>19.46</v>
      </c>
      <c r="I12" s="246">
        <f t="shared" si="0"/>
        <v>45554</v>
      </c>
      <c r="J12" s="246">
        <f t="shared" si="1"/>
        <v>161.89000000000001</v>
      </c>
    </row>
    <row r="13" spans="1:10" x14ac:dyDescent="0.2">
      <c r="A13" s="244">
        <v>7</v>
      </c>
      <c r="B13" s="245" t="s">
        <v>57</v>
      </c>
      <c r="C13" s="246">
        <v>3103</v>
      </c>
      <c r="D13" s="246">
        <v>3.53</v>
      </c>
      <c r="E13" s="246">
        <v>692</v>
      </c>
      <c r="F13" s="246">
        <v>13.96</v>
      </c>
      <c r="G13" s="246">
        <v>101</v>
      </c>
      <c r="H13" s="246">
        <v>7.47</v>
      </c>
      <c r="I13" s="246">
        <f t="shared" si="0"/>
        <v>3896</v>
      </c>
      <c r="J13" s="246">
        <f t="shared" si="1"/>
        <v>24.96</v>
      </c>
    </row>
    <row r="14" spans="1:10" x14ac:dyDescent="0.2">
      <c r="A14" s="244">
        <v>8</v>
      </c>
      <c r="B14" s="245" t="s">
        <v>77</v>
      </c>
      <c r="C14" s="246">
        <v>6429</v>
      </c>
      <c r="D14" s="246">
        <v>2.97</v>
      </c>
      <c r="E14" s="246">
        <v>648</v>
      </c>
      <c r="F14" s="246">
        <v>12.03</v>
      </c>
      <c r="G14" s="246">
        <v>119</v>
      </c>
      <c r="H14" s="246">
        <v>9.09</v>
      </c>
      <c r="I14" s="246">
        <f t="shared" si="0"/>
        <v>7196</v>
      </c>
      <c r="J14" s="246">
        <f t="shared" si="1"/>
        <v>24.09</v>
      </c>
    </row>
    <row r="15" spans="1:10" x14ac:dyDescent="0.2">
      <c r="A15" s="244">
        <v>9</v>
      </c>
      <c r="B15" s="245" t="s">
        <v>58</v>
      </c>
      <c r="C15" s="246">
        <v>33999</v>
      </c>
      <c r="D15" s="246">
        <v>33.979999999999997</v>
      </c>
      <c r="E15" s="246">
        <v>6976</v>
      </c>
      <c r="F15" s="246">
        <v>108.57</v>
      </c>
      <c r="G15" s="246">
        <v>2336</v>
      </c>
      <c r="H15" s="246">
        <v>164.76</v>
      </c>
      <c r="I15" s="246">
        <f t="shared" si="0"/>
        <v>43311</v>
      </c>
      <c r="J15" s="246">
        <f t="shared" si="1"/>
        <v>307.30999999999995</v>
      </c>
    </row>
    <row r="16" spans="1:10" x14ac:dyDescent="0.2">
      <c r="A16" s="244">
        <v>10</v>
      </c>
      <c r="B16" s="245" t="s">
        <v>64</v>
      </c>
      <c r="C16" s="246">
        <v>124226</v>
      </c>
      <c r="D16" s="246">
        <v>137.04</v>
      </c>
      <c r="E16" s="246">
        <v>24304</v>
      </c>
      <c r="F16" s="246">
        <v>733</v>
      </c>
      <c r="G16" s="246">
        <v>17530</v>
      </c>
      <c r="H16" s="246">
        <v>1303.2</v>
      </c>
      <c r="I16" s="246">
        <f t="shared" si="0"/>
        <v>166060</v>
      </c>
      <c r="J16" s="246">
        <f t="shared" si="1"/>
        <v>2173.2399999999998</v>
      </c>
    </row>
    <row r="17" spans="1:10" x14ac:dyDescent="0.2">
      <c r="A17" s="244">
        <v>11</v>
      </c>
      <c r="B17" s="245" t="s">
        <v>179</v>
      </c>
      <c r="C17" s="246">
        <v>15275</v>
      </c>
      <c r="D17" s="246">
        <v>11.19</v>
      </c>
      <c r="E17" s="246">
        <v>2598</v>
      </c>
      <c r="F17" s="246">
        <v>38.369999999999997</v>
      </c>
      <c r="G17" s="246">
        <v>570</v>
      </c>
      <c r="H17" s="246">
        <v>41.65</v>
      </c>
      <c r="I17" s="246">
        <f t="shared" si="0"/>
        <v>18443</v>
      </c>
      <c r="J17" s="246">
        <f t="shared" si="1"/>
        <v>91.21</v>
      </c>
    </row>
    <row r="18" spans="1:10" x14ac:dyDescent="0.2">
      <c r="A18" s="244">
        <v>12</v>
      </c>
      <c r="B18" s="245" t="s">
        <v>60</v>
      </c>
      <c r="C18" s="246">
        <v>32090</v>
      </c>
      <c r="D18" s="246">
        <v>25.53</v>
      </c>
      <c r="E18" s="246">
        <v>6449</v>
      </c>
      <c r="F18" s="246">
        <v>109.28</v>
      </c>
      <c r="G18" s="246">
        <v>1642</v>
      </c>
      <c r="H18" s="246">
        <v>108.5</v>
      </c>
      <c r="I18" s="246">
        <f t="shared" si="0"/>
        <v>40181</v>
      </c>
      <c r="J18" s="246">
        <f t="shared" si="1"/>
        <v>243.31</v>
      </c>
    </row>
    <row r="19" spans="1:10" x14ac:dyDescent="0.2">
      <c r="A19" s="247"/>
      <c r="B19" s="248" t="s">
        <v>1010</v>
      </c>
      <c r="C19" s="249">
        <f t="shared" ref="C19:J19" si="2">SUM(C7:C18)</f>
        <v>504801</v>
      </c>
      <c r="D19" s="249">
        <f t="shared" si="2"/>
        <v>634.66000000000008</v>
      </c>
      <c r="E19" s="249">
        <f t="shared" si="2"/>
        <v>96950</v>
      </c>
      <c r="F19" s="249">
        <f t="shared" si="2"/>
        <v>2009.1999999999998</v>
      </c>
      <c r="G19" s="249">
        <f t="shared" si="2"/>
        <v>34055</v>
      </c>
      <c r="H19" s="249">
        <f t="shared" si="2"/>
        <v>2481.4100000000003</v>
      </c>
      <c r="I19" s="249">
        <f t="shared" si="2"/>
        <v>635806</v>
      </c>
      <c r="J19" s="249">
        <f t="shared" si="2"/>
        <v>5125.2700000000004</v>
      </c>
    </row>
    <row r="20" spans="1:10" x14ac:dyDescent="0.2">
      <c r="A20" s="491" t="s">
        <v>252</v>
      </c>
      <c r="B20" s="492"/>
      <c r="C20" s="492"/>
      <c r="D20" s="492"/>
      <c r="E20" s="492"/>
      <c r="F20" s="492"/>
      <c r="G20" s="492"/>
      <c r="H20" s="492"/>
      <c r="I20" s="492"/>
      <c r="J20" s="493"/>
    </row>
    <row r="21" spans="1:10" x14ac:dyDescent="0.2">
      <c r="A21" s="244">
        <v>13</v>
      </c>
      <c r="B21" s="245" t="s">
        <v>41</v>
      </c>
      <c r="C21" s="246">
        <v>43586</v>
      </c>
      <c r="D21" s="246">
        <v>158.69999999999999</v>
      </c>
      <c r="E21" s="246">
        <v>350</v>
      </c>
      <c r="F21" s="246">
        <v>10.77</v>
      </c>
      <c r="G21" s="246">
        <v>303</v>
      </c>
      <c r="H21" s="246">
        <v>25.24</v>
      </c>
      <c r="I21" s="246">
        <f t="shared" ref="I21:I35" si="3">C21+E21+G21</f>
        <v>44239</v>
      </c>
      <c r="J21" s="246">
        <f t="shared" ref="J21:J35" si="4">D21+F21+H21</f>
        <v>194.71</v>
      </c>
    </row>
    <row r="22" spans="1:10" x14ac:dyDescent="0.2">
      <c r="A22" s="244">
        <v>14</v>
      </c>
      <c r="B22" s="245" t="s">
        <v>180</v>
      </c>
      <c r="C22" s="246">
        <v>146897</v>
      </c>
      <c r="D22" s="246">
        <v>508.55</v>
      </c>
      <c r="E22" s="246">
        <v>103552</v>
      </c>
      <c r="F22" s="246">
        <v>1009.09</v>
      </c>
      <c r="G22" s="246">
        <v>1271</v>
      </c>
      <c r="H22" s="246">
        <v>87.31</v>
      </c>
      <c r="I22" s="246">
        <f t="shared" si="3"/>
        <v>251720</v>
      </c>
      <c r="J22" s="246">
        <f t="shared" si="4"/>
        <v>1604.95</v>
      </c>
    </row>
    <row r="23" spans="1:10" x14ac:dyDescent="0.2">
      <c r="A23" s="244">
        <v>15</v>
      </c>
      <c r="B23" s="245" t="s">
        <v>89</v>
      </c>
      <c r="C23" s="246">
        <v>21</v>
      </c>
      <c r="D23" s="246">
        <v>0.03</v>
      </c>
      <c r="E23" s="246">
        <v>813</v>
      </c>
      <c r="F23" s="246">
        <v>27.74</v>
      </c>
      <c r="G23" s="246">
        <v>342</v>
      </c>
      <c r="H23" s="246">
        <v>19.829999999999998</v>
      </c>
      <c r="I23" s="246">
        <f t="shared" si="3"/>
        <v>1176</v>
      </c>
      <c r="J23" s="246">
        <f t="shared" si="4"/>
        <v>47.599999999999994</v>
      </c>
    </row>
    <row r="24" spans="1:10" x14ac:dyDescent="0.2">
      <c r="A24" s="244">
        <v>16</v>
      </c>
      <c r="B24" s="245" t="s">
        <v>1022</v>
      </c>
      <c r="C24" s="246">
        <v>0</v>
      </c>
      <c r="D24" s="246">
        <v>0</v>
      </c>
      <c r="E24" s="246">
        <v>1</v>
      </c>
      <c r="F24" s="246">
        <v>0.02</v>
      </c>
      <c r="G24" s="246">
        <v>0</v>
      </c>
      <c r="H24" s="246">
        <v>0</v>
      </c>
      <c r="I24" s="246">
        <f t="shared" si="3"/>
        <v>1</v>
      </c>
      <c r="J24" s="246">
        <f t="shared" si="4"/>
        <v>0.02</v>
      </c>
    </row>
    <row r="25" spans="1:10" x14ac:dyDescent="0.2">
      <c r="A25" s="244">
        <v>17</v>
      </c>
      <c r="B25" s="245" t="s">
        <v>253</v>
      </c>
      <c r="C25" s="246">
        <v>20</v>
      </c>
      <c r="D25" s="246">
        <v>0.04</v>
      </c>
      <c r="E25" s="246">
        <v>13</v>
      </c>
      <c r="F25" s="246">
        <v>0.31</v>
      </c>
      <c r="G25" s="246">
        <v>1</v>
      </c>
      <c r="H25" s="246">
        <v>0.1</v>
      </c>
      <c r="I25" s="246">
        <f t="shared" si="3"/>
        <v>34</v>
      </c>
      <c r="J25" s="246">
        <f t="shared" si="4"/>
        <v>0.44999999999999996</v>
      </c>
    </row>
    <row r="26" spans="1:10" x14ac:dyDescent="0.2">
      <c r="A26" s="244">
        <v>18</v>
      </c>
      <c r="B26" s="245" t="s">
        <v>65</v>
      </c>
      <c r="C26" s="246">
        <v>32742</v>
      </c>
      <c r="D26" s="246">
        <v>91.33</v>
      </c>
      <c r="E26" s="246">
        <v>1543</v>
      </c>
      <c r="F26" s="246">
        <v>36.4</v>
      </c>
      <c r="G26" s="246">
        <v>955</v>
      </c>
      <c r="H26" s="246">
        <v>56.78</v>
      </c>
      <c r="I26" s="246">
        <f t="shared" si="3"/>
        <v>35240</v>
      </c>
      <c r="J26" s="246">
        <f t="shared" si="4"/>
        <v>184.51</v>
      </c>
    </row>
    <row r="27" spans="1:10" x14ac:dyDescent="0.2">
      <c r="A27" s="244">
        <v>19</v>
      </c>
      <c r="B27" s="245" t="s">
        <v>66</v>
      </c>
      <c r="C27" s="246">
        <v>142</v>
      </c>
      <c r="D27" s="246">
        <v>0.55000000000000004</v>
      </c>
      <c r="E27" s="246">
        <v>4157</v>
      </c>
      <c r="F27" s="246">
        <v>141.91</v>
      </c>
      <c r="G27" s="246">
        <v>1829</v>
      </c>
      <c r="H27" s="246">
        <v>110.89</v>
      </c>
      <c r="I27" s="246">
        <f t="shared" si="3"/>
        <v>6128</v>
      </c>
      <c r="J27" s="246">
        <f t="shared" si="4"/>
        <v>253.35000000000002</v>
      </c>
    </row>
    <row r="28" spans="1:10" x14ac:dyDescent="0.2">
      <c r="A28" s="244">
        <v>20</v>
      </c>
      <c r="B28" s="245" t="s">
        <v>251</v>
      </c>
      <c r="C28" s="246">
        <v>4867</v>
      </c>
      <c r="D28" s="246">
        <v>11.8</v>
      </c>
      <c r="E28" s="246">
        <v>1888</v>
      </c>
      <c r="F28" s="246">
        <v>18.97</v>
      </c>
      <c r="G28" s="246">
        <v>1201</v>
      </c>
      <c r="H28" s="246">
        <v>39.35</v>
      </c>
      <c r="I28" s="246">
        <f t="shared" si="3"/>
        <v>7956</v>
      </c>
      <c r="J28" s="246">
        <f t="shared" si="4"/>
        <v>70.12</v>
      </c>
    </row>
    <row r="29" spans="1:10" x14ac:dyDescent="0.2">
      <c r="A29" s="244">
        <v>21</v>
      </c>
      <c r="B29" s="245" t="s">
        <v>254</v>
      </c>
      <c r="C29" s="246">
        <v>55104</v>
      </c>
      <c r="D29" s="246">
        <v>185.61</v>
      </c>
      <c r="E29" s="246">
        <v>28988</v>
      </c>
      <c r="F29" s="246">
        <v>329.45</v>
      </c>
      <c r="G29" s="246">
        <v>549</v>
      </c>
      <c r="H29" s="246">
        <v>32.31</v>
      </c>
      <c r="I29" s="246">
        <f t="shared" si="3"/>
        <v>84641</v>
      </c>
      <c r="J29" s="246">
        <f t="shared" si="4"/>
        <v>547.36999999999989</v>
      </c>
    </row>
    <row r="30" spans="1:10" x14ac:dyDescent="0.2">
      <c r="A30" s="244">
        <v>22</v>
      </c>
      <c r="B30" s="245" t="s">
        <v>224</v>
      </c>
      <c r="C30" s="246">
        <v>420686</v>
      </c>
      <c r="D30" s="246">
        <v>973.5</v>
      </c>
      <c r="E30" s="246">
        <v>57969</v>
      </c>
      <c r="F30" s="246">
        <v>566.21</v>
      </c>
      <c r="G30" s="246">
        <v>4787</v>
      </c>
      <c r="H30" s="246">
        <v>218.85</v>
      </c>
      <c r="I30" s="246">
        <f t="shared" si="3"/>
        <v>483442</v>
      </c>
      <c r="J30" s="246">
        <f t="shared" si="4"/>
        <v>1758.56</v>
      </c>
    </row>
    <row r="31" spans="1:10" x14ac:dyDescent="0.2">
      <c r="A31" s="244">
        <v>23</v>
      </c>
      <c r="B31" s="245" t="s">
        <v>255</v>
      </c>
      <c r="C31" s="246">
        <v>33</v>
      </c>
      <c r="D31" s="246">
        <v>0.05</v>
      </c>
      <c r="E31" s="246">
        <v>86</v>
      </c>
      <c r="F31" s="246">
        <v>1.98</v>
      </c>
      <c r="G31" s="246">
        <v>16</v>
      </c>
      <c r="H31" s="246">
        <v>1.19</v>
      </c>
      <c r="I31" s="246">
        <f t="shared" si="3"/>
        <v>135</v>
      </c>
      <c r="J31" s="246">
        <f t="shared" si="4"/>
        <v>3.2199999999999998</v>
      </c>
    </row>
    <row r="32" spans="1:10" x14ac:dyDescent="0.2">
      <c r="A32" s="244">
        <v>24</v>
      </c>
      <c r="B32" s="245" t="s">
        <v>256</v>
      </c>
      <c r="C32" s="246">
        <v>42</v>
      </c>
      <c r="D32" s="246">
        <v>0.05</v>
      </c>
      <c r="E32" s="246">
        <v>47</v>
      </c>
      <c r="F32" s="246">
        <v>0.64</v>
      </c>
      <c r="G32" s="246">
        <v>31</v>
      </c>
      <c r="H32" s="246">
        <v>0.62</v>
      </c>
      <c r="I32" s="246">
        <f t="shared" si="3"/>
        <v>120</v>
      </c>
      <c r="J32" s="246">
        <f t="shared" si="4"/>
        <v>1.31</v>
      </c>
    </row>
    <row r="33" spans="1:11" x14ac:dyDescent="0.2">
      <c r="A33" s="244">
        <v>25</v>
      </c>
      <c r="B33" s="245" t="s">
        <v>67</v>
      </c>
      <c r="C33" s="246">
        <v>38240</v>
      </c>
      <c r="D33" s="246">
        <v>131.63999999999999</v>
      </c>
      <c r="E33" s="246">
        <v>3039</v>
      </c>
      <c r="F33" s="246">
        <v>10.59</v>
      </c>
      <c r="G33" s="246">
        <v>47</v>
      </c>
      <c r="H33" s="246">
        <v>0.93</v>
      </c>
      <c r="I33" s="246">
        <f t="shared" si="3"/>
        <v>41326</v>
      </c>
      <c r="J33" s="246">
        <f t="shared" si="4"/>
        <v>143.16</v>
      </c>
    </row>
    <row r="34" spans="1:11" x14ac:dyDescent="0.2">
      <c r="A34" s="244">
        <v>26</v>
      </c>
      <c r="B34" s="245" t="s">
        <v>69</v>
      </c>
      <c r="C34" s="246">
        <v>7607</v>
      </c>
      <c r="D34" s="246">
        <v>12.58</v>
      </c>
      <c r="E34" s="246">
        <v>104</v>
      </c>
      <c r="F34" s="246">
        <v>3.28</v>
      </c>
      <c r="G34" s="246">
        <v>39</v>
      </c>
      <c r="H34" s="246">
        <v>2.6</v>
      </c>
      <c r="I34" s="246">
        <f t="shared" si="3"/>
        <v>7750</v>
      </c>
      <c r="J34" s="246">
        <f t="shared" si="4"/>
        <v>18.46</v>
      </c>
    </row>
    <row r="35" spans="1:11" x14ac:dyDescent="0.2">
      <c r="A35" s="250">
        <v>27</v>
      </c>
      <c r="B35" s="251" t="s">
        <v>70</v>
      </c>
      <c r="C35" s="252">
        <v>46655</v>
      </c>
      <c r="D35" s="252">
        <v>156.63999999999999</v>
      </c>
      <c r="E35" s="252">
        <v>11</v>
      </c>
      <c r="F35" s="252">
        <v>0.06</v>
      </c>
      <c r="G35" s="252">
        <v>0</v>
      </c>
      <c r="H35" s="252">
        <v>0</v>
      </c>
      <c r="I35" s="246">
        <f t="shared" si="3"/>
        <v>46666</v>
      </c>
      <c r="J35" s="246">
        <f t="shared" si="4"/>
        <v>156.69999999999999</v>
      </c>
    </row>
    <row r="36" spans="1:11" x14ac:dyDescent="0.2">
      <c r="A36" s="253"/>
      <c r="B36" s="254" t="s">
        <v>1016</v>
      </c>
      <c r="C36" s="255">
        <f t="shared" ref="C36:J36" si="5">SUM(C21:C35)</f>
        <v>796642</v>
      </c>
      <c r="D36" s="255">
        <f t="shared" si="5"/>
        <v>2231.0699999999997</v>
      </c>
      <c r="E36" s="255">
        <f t="shared" si="5"/>
        <v>202561</v>
      </c>
      <c r="F36" s="255">
        <f t="shared" si="5"/>
        <v>2157.42</v>
      </c>
      <c r="G36" s="255">
        <f t="shared" si="5"/>
        <v>11371</v>
      </c>
      <c r="H36" s="255">
        <f t="shared" si="5"/>
        <v>596</v>
      </c>
      <c r="I36" s="255">
        <f t="shared" si="5"/>
        <v>1010574</v>
      </c>
      <c r="J36" s="255">
        <f t="shared" si="5"/>
        <v>4984.49</v>
      </c>
    </row>
    <row r="37" spans="1:11" x14ac:dyDescent="0.2">
      <c r="A37" s="494" t="s">
        <v>246</v>
      </c>
      <c r="B37" s="494"/>
      <c r="C37" s="494"/>
      <c r="D37" s="494"/>
      <c r="E37" s="494"/>
      <c r="F37" s="494"/>
      <c r="G37" s="494"/>
      <c r="H37" s="494"/>
      <c r="I37" s="494"/>
      <c r="J37" s="494"/>
    </row>
    <row r="38" spans="1:11" x14ac:dyDescent="0.2">
      <c r="A38" s="228">
        <v>28</v>
      </c>
      <c r="B38" s="257" t="s">
        <v>384</v>
      </c>
      <c r="C38" s="253">
        <v>73015</v>
      </c>
      <c r="D38" s="253">
        <v>106.39</v>
      </c>
      <c r="E38" s="253">
        <v>28043</v>
      </c>
      <c r="F38" s="253">
        <v>403.41</v>
      </c>
      <c r="G38" s="253">
        <v>1790</v>
      </c>
      <c r="H38" s="253">
        <v>118.71</v>
      </c>
      <c r="I38" s="261">
        <f>C38+E38+G38</f>
        <v>102848</v>
      </c>
      <c r="J38" s="261">
        <f>D38+F38+H38</f>
        <v>628.51</v>
      </c>
    </row>
    <row r="39" spans="1:11" x14ac:dyDescent="0.2">
      <c r="A39" s="256">
        <v>29</v>
      </c>
      <c r="B39" s="257" t="s">
        <v>360</v>
      </c>
      <c r="C39" s="253">
        <v>5819</v>
      </c>
      <c r="D39" s="253">
        <v>19.61</v>
      </c>
      <c r="E39" s="253">
        <v>1894</v>
      </c>
      <c r="F39" s="253">
        <v>31.59</v>
      </c>
      <c r="G39" s="253">
        <v>122</v>
      </c>
      <c r="H39" s="253">
        <v>8.7100000000000009</v>
      </c>
      <c r="I39" s="253">
        <f>C39+E39+G39</f>
        <v>7835</v>
      </c>
      <c r="J39" s="253">
        <f>D39+F39+H39</f>
        <v>59.910000000000004</v>
      </c>
    </row>
    <row r="40" spans="1:11" x14ac:dyDescent="0.2">
      <c r="A40" s="256"/>
      <c r="B40" s="254" t="s">
        <v>1017</v>
      </c>
      <c r="C40" s="255">
        <f>C39+C38</f>
        <v>78834</v>
      </c>
      <c r="D40" s="255">
        <f t="shared" ref="D40:J40" si="6">D39+D38</f>
        <v>126</v>
      </c>
      <c r="E40" s="255">
        <f t="shared" si="6"/>
        <v>29937</v>
      </c>
      <c r="F40" s="255">
        <f t="shared" si="6"/>
        <v>435</v>
      </c>
      <c r="G40" s="255">
        <f t="shared" si="6"/>
        <v>1912</v>
      </c>
      <c r="H40" s="255">
        <f t="shared" si="6"/>
        <v>127.41999999999999</v>
      </c>
      <c r="I40" s="255">
        <f t="shared" si="6"/>
        <v>110683</v>
      </c>
      <c r="J40" s="255">
        <f t="shared" si="6"/>
        <v>688.42</v>
      </c>
    </row>
    <row r="41" spans="1:11" x14ac:dyDescent="0.2">
      <c r="A41" s="256">
        <v>30</v>
      </c>
      <c r="B41" s="258" t="s">
        <v>308</v>
      </c>
      <c r="C41" s="258">
        <v>43095</v>
      </c>
      <c r="D41" s="258">
        <v>131.32</v>
      </c>
      <c r="E41" s="258">
        <v>80</v>
      </c>
      <c r="F41" s="258">
        <v>1.25</v>
      </c>
      <c r="G41" s="258">
        <v>68</v>
      </c>
      <c r="H41" s="258">
        <v>4.91</v>
      </c>
      <c r="I41" s="258">
        <f>C41+E41+G41</f>
        <v>43243</v>
      </c>
      <c r="J41" s="258">
        <f>D41+F41+H41</f>
        <v>137.47999999999999</v>
      </c>
    </row>
    <row r="42" spans="1:11" x14ac:dyDescent="0.2">
      <c r="A42" s="256">
        <v>31</v>
      </c>
      <c r="B42" s="257" t="s">
        <v>309</v>
      </c>
      <c r="C42" s="253">
        <v>33665</v>
      </c>
      <c r="D42" s="253">
        <v>110.46</v>
      </c>
      <c r="E42" s="253">
        <v>6123</v>
      </c>
      <c r="F42" s="253">
        <v>39.85</v>
      </c>
      <c r="G42" s="253">
        <v>71</v>
      </c>
      <c r="H42" s="253">
        <v>5.01</v>
      </c>
      <c r="I42" s="258">
        <f t="shared" ref="I42:J48" si="7">C42+E42+G42</f>
        <v>39859</v>
      </c>
      <c r="J42" s="258">
        <f t="shared" ref="J42:J47" si="8">D42+F42+H42</f>
        <v>155.32</v>
      </c>
    </row>
    <row r="43" spans="1:11" x14ac:dyDescent="0.2">
      <c r="A43" s="256">
        <v>32</v>
      </c>
      <c r="B43" s="258" t="s">
        <v>306</v>
      </c>
      <c r="C43" s="258">
        <v>42679</v>
      </c>
      <c r="D43" s="258">
        <v>132.69999999999999</v>
      </c>
      <c r="E43" s="258">
        <v>0</v>
      </c>
      <c r="F43" s="258">
        <v>0</v>
      </c>
      <c r="G43" s="258">
        <v>0</v>
      </c>
      <c r="H43" s="258">
        <v>0</v>
      </c>
      <c r="I43" s="258">
        <f t="shared" si="7"/>
        <v>42679</v>
      </c>
      <c r="J43" s="258">
        <f t="shared" si="8"/>
        <v>132.69999999999999</v>
      </c>
    </row>
    <row r="44" spans="1:11" s="73" customFormat="1" x14ac:dyDescent="0.2">
      <c r="A44" s="256">
        <v>33</v>
      </c>
      <c r="B44" s="258" t="s">
        <v>300</v>
      </c>
      <c r="C44" s="258">
        <v>20156</v>
      </c>
      <c r="D44" s="258">
        <v>72.19</v>
      </c>
      <c r="E44" s="258">
        <v>4259</v>
      </c>
      <c r="F44" s="258">
        <v>32.83</v>
      </c>
      <c r="G44" s="258">
        <v>0</v>
      </c>
      <c r="H44" s="258">
        <v>0</v>
      </c>
      <c r="I44" s="258">
        <f t="shared" si="7"/>
        <v>24415</v>
      </c>
      <c r="J44" s="258">
        <f t="shared" si="8"/>
        <v>105.02</v>
      </c>
      <c r="K44" s="72"/>
    </row>
    <row r="45" spans="1:11" x14ac:dyDescent="0.2">
      <c r="A45" s="256">
        <v>34</v>
      </c>
      <c r="B45" s="145" t="s">
        <v>1023</v>
      </c>
      <c r="C45" s="145">
        <v>47</v>
      </c>
      <c r="D45" s="258">
        <v>0.21</v>
      </c>
      <c r="E45" s="145">
        <v>204</v>
      </c>
      <c r="F45" s="258">
        <v>2.13</v>
      </c>
      <c r="G45" s="145">
        <v>0</v>
      </c>
      <c r="H45" s="258">
        <v>0</v>
      </c>
      <c r="I45" s="258">
        <f t="shared" si="7"/>
        <v>251</v>
      </c>
      <c r="J45" s="258">
        <f t="shared" si="8"/>
        <v>2.34</v>
      </c>
    </row>
    <row r="46" spans="1:11" x14ac:dyDescent="0.2">
      <c r="A46" s="256">
        <v>35</v>
      </c>
      <c r="B46" s="145" t="s">
        <v>305</v>
      </c>
      <c r="C46" s="145">
        <v>23990</v>
      </c>
      <c r="D46" s="258">
        <v>75.53</v>
      </c>
      <c r="E46" s="145">
        <v>0</v>
      </c>
      <c r="F46" s="258">
        <v>0</v>
      </c>
      <c r="G46" s="145">
        <v>0</v>
      </c>
      <c r="H46" s="258">
        <v>0</v>
      </c>
      <c r="I46" s="258">
        <f t="shared" si="7"/>
        <v>23990</v>
      </c>
      <c r="J46" s="258">
        <f t="shared" si="8"/>
        <v>75.53</v>
      </c>
    </row>
    <row r="47" spans="1:11" x14ac:dyDescent="0.2">
      <c r="A47" s="256">
        <v>36</v>
      </c>
      <c r="B47" s="145" t="s">
        <v>1024</v>
      </c>
      <c r="C47" s="145">
        <v>504</v>
      </c>
      <c r="D47" s="258">
        <v>1.34</v>
      </c>
      <c r="E47" s="145">
        <v>8848</v>
      </c>
      <c r="F47" s="258">
        <v>234.05</v>
      </c>
      <c r="G47" s="145">
        <v>2928</v>
      </c>
      <c r="H47" s="258">
        <v>198.13</v>
      </c>
      <c r="I47" s="258">
        <f t="shared" si="7"/>
        <v>12280</v>
      </c>
      <c r="J47" s="258">
        <f t="shared" si="8"/>
        <v>433.52</v>
      </c>
    </row>
    <row r="48" spans="1:11" x14ac:dyDescent="0.2">
      <c r="A48" s="256">
        <v>37</v>
      </c>
      <c r="B48" s="145" t="s">
        <v>1025</v>
      </c>
      <c r="C48" s="145">
        <v>65341</v>
      </c>
      <c r="D48" s="258">
        <v>222.46</v>
      </c>
      <c r="E48" s="145">
        <v>4421</v>
      </c>
      <c r="F48" s="258">
        <v>26.69</v>
      </c>
      <c r="G48" s="145">
        <v>1</v>
      </c>
      <c r="H48" s="258">
        <v>0.1</v>
      </c>
      <c r="I48" s="258">
        <f t="shared" si="7"/>
        <v>69763</v>
      </c>
      <c r="J48" s="258">
        <f t="shared" si="7"/>
        <v>249.25</v>
      </c>
    </row>
    <row r="49" spans="1:10" s="73" customFormat="1" x14ac:dyDescent="0.2">
      <c r="A49" s="259"/>
      <c r="B49" s="259" t="s">
        <v>1026</v>
      </c>
      <c r="C49" s="260">
        <f>SUM(C41:C48)</f>
        <v>229477</v>
      </c>
      <c r="D49" s="260">
        <f t="shared" ref="D49:H49" si="9">SUM(D41:D48)</f>
        <v>746.21</v>
      </c>
      <c r="E49" s="260">
        <f t="shared" si="9"/>
        <v>23935</v>
      </c>
      <c r="F49" s="260">
        <f t="shared" si="9"/>
        <v>336.8</v>
      </c>
      <c r="G49" s="260">
        <f t="shared" si="9"/>
        <v>3068</v>
      </c>
      <c r="H49" s="260">
        <f t="shared" si="9"/>
        <v>208.14999999999998</v>
      </c>
      <c r="I49" s="260">
        <f t="shared" ref="I49" si="10">C49+E49+G49</f>
        <v>256480</v>
      </c>
      <c r="J49" s="260">
        <f t="shared" ref="J49" si="11">D49+F49+H49</f>
        <v>1291.1599999999999</v>
      </c>
    </row>
    <row r="50" spans="1:10" s="73" customFormat="1" x14ac:dyDescent="0.2">
      <c r="A50" s="259"/>
      <c r="B50" s="259" t="s">
        <v>210</v>
      </c>
      <c r="C50" s="260">
        <f t="shared" ref="C50:H50" si="12">C49+C40+C36+C19</f>
        <v>1609754</v>
      </c>
      <c r="D50" s="260">
        <f t="shared" si="12"/>
        <v>3737.9399999999996</v>
      </c>
      <c r="E50" s="260">
        <f t="shared" si="12"/>
        <v>353383</v>
      </c>
      <c r="F50" s="260">
        <f t="shared" si="12"/>
        <v>4938.42</v>
      </c>
      <c r="G50" s="260">
        <f t="shared" si="12"/>
        <v>50406</v>
      </c>
      <c r="H50" s="260">
        <f t="shared" si="12"/>
        <v>3412.9800000000005</v>
      </c>
      <c r="I50" s="260">
        <f t="shared" ref="I50" si="13">C50+E50+G50</f>
        <v>2013543</v>
      </c>
      <c r="J50" s="260">
        <f t="shared" ref="J50" si="14">D50+F50+H50</f>
        <v>12089.34</v>
      </c>
    </row>
    <row r="51" spans="1:10" x14ac:dyDescent="0.2">
      <c r="E51" s="72" t="s">
        <v>448</v>
      </c>
    </row>
  </sheetData>
  <sortState xmlns:xlrd2="http://schemas.microsoft.com/office/spreadsheetml/2017/richdata2" ref="B21:J35">
    <sortCondition ref="B21:B35"/>
  </sortState>
  <mergeCells count="11">
    <mergeCell ref="A6:J6"/>
    <mergeCell ref="A20:J20"/>
    <mergeCell ref="A37:J37"/>
    <mergeCell ref="A1:J1"/>
    <mergeCell ref="H3:J3"/>
    <mergeCell ref="A4:A5"/>
    <mergeCell ref="B4:B5"/>
    <mergeCell ref="C4:D4"/>
    <mergeCell ref="E4:F4"/>
    <mergeCell ref="G4:H4"/>
    <mergeCell ref="I4:J4"/>
  </mergeCells>
  <pageMargins left="0.7" right="0.5" top="1" bottom="0.25" header="0.3" footer="0.3"/>
  <pageSetup paperSize="9"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2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baseColWidth="10" defaultColWidth="9.19921875" defaultRowHeight="14" x14ac:dyDescent="0.2"/>
  <cols>
    <col min="1" max="1" width="4.59765625" style="78" customWidth="1"/>
    <col min="2" max="2" width="21.796875" style="77" customWidth="1"/>
    <col min="3" max="3" width="9.796875" style="90" customWidth="1"/>
    <col min="4" max="4" width="8.796875" style="133" customWidth="1"/>
    <col min="5" max="5" width="10.59765625" style="90" customWidth="1"/>
    <col min="6" max="6" width="8.59765625" style="133" customWidth="1"/>
    <col min="7" max="7" width="8.3984375" style="90" customWidth="1"/>
    <col min="8" max="8" width="9.19921875" style="133" customWidth="1"/>
    <col min="9" max="9" width="7.59765625" style="90" customWidth="1"/>
    <col min="10" max="10" width="9.796875" style="90" customWidth="1"/>
    <col min="11" max="11" width="7.59765625" style="90" customWidth="1"/>
    <col min="12" max="12" width="7.3984375" style="90" customWidth="1"/>
    <col min="13" max="13" width="8" style="90" customWidth="1"/>
    <col min="14" max="14" width="8.59765625" style="90" customWidth="1"/>
    <col min="15" max="16384" width="9.19921875" style="77"/>
  </cols>
  <sheetData>
    <row r="1" spans="1:14" ht="17" x14ac:dyDescent="0.2">
      <c r="A1" s="501" t="s">
        <v>321</v>
      </c>
      <c r="B1" s="501"/>
      <c r="C1" s="501"/>
      <c r="D1" s="501"/>
      <c r="E1" s="501"/>
      <c r="F1" s="501"/>
      <c r="G1" s="501"/>
      <c r="H1" s="501"/>
      <c r="I1" s="103"/>
      <c r="J1" s="103"/>
      <c r="K1" s="103"/>
      <c r="L1" s="103"/>
      <c r="M1" s="103"/>
      <c r="N1" s="103"/>
    </row>
    <row r="2" spans="1:14" ht="17" x14ac:dyDescent="0.2">
      <c r="A2" s="501" t="s">
        <v>376</v>
      </c>
      <c r="B2" s="501"/>
      <c r="C2" s="501"/>
      <c r="D2" s="501"/>
      <c r="E2" s="501"/>
      <c r="F2" s="501"/>
      <c r="G2" s="501"/>
      <c r="H2" s="501"/>
      <c r="I2" s="103"/>
      <c r="J2" s="103"/>
      <c r="K2" s="103"/>
      <c r="L2" s="103"/>
      <c r="M2" s="103"/>
      <c r="N2" s="103"/>
    </row>
    <row r="3" spans="1:14" ht="17" x14ac:dyDescent="0.2">
      <c r="A3" s="112"/>
      <c r="B3" s="112"/>
      <c r="C3" s="112"/>
      <c r="D3" s="112"/>
      <c r="E3" s="112"/>
      <c r="F3" s="112"/>
      <c r="G3" s="112"/>
      <c r="H3" s="112"/>
      <c r="I3" s="103"/>
      <c r="J3" s="103"/>
      <c r="K3" s="103"/>
      <c r="L3" s="103"/>
      <c r="M3" s="103"/>
      <c r="N3" s="103"/>
    </row>
    <row r="4" spans="1:14" x14ac:dyDescent="0.2">
      <c r="A4" s="71"/>
      <c r="B4" s="70"/>
      <c r="C4" s="91"/>
      <c r="D4" s="129"/>
      <c r="E4" s="89"/>
      <c r="F4" s="133" t="s">
        <v>299</v>
      </c>
    </row>
    <row r="6" spans="1:14" x14ac:dyDescent="0.2">
      <c r="A6" s="504" t="s">
        <v>110</v>
      </c>
      <c r="B6" s="502" t="s">
        <v>280</v>
      </c>
      <c r="C6" s="500" t="s">
        <v>318</v>
      </c>
      <c r="D6" s="500"/>
      <c r="E6" s="500" t="s">
        <v>319</v>
      </c>
      <c r="F6" s="500"/>
      <c r="G6" s="500" t="s">
        <v>1</v>
      </c>
      <c r="H6" s="500"/>
    </row>
    <row r="7" spans="1:14" ht="45" x14ac:dyDescent="0.2">
      <c r="A7" s="505"/>
      <c r="B7" s="503"/>
      <c r="C7" s="128" t="s">
        <v>114</v>
      </c>
      <c r="D7" s="130" t="s">
        <v>320</v>
      </c>
      <c r="E7" s="128" t="s">
        <v>114</v>
      </c>
      <c r="F7" s="130" t="s">
        <v>320</v>
      </c>
      <c r="G7" s="128" t="s">
        <v>114</v>
      </c>
      <c r="H7" s="130" t="s">
        <v>320</v>
      </c>
    </row>
    <row r="8" spans="1:14" x14ac:dyDescent="0.2">
      <c r="A8" s="124">
        <v>1</v>
      </c>
      <c r="B8" s="125" t="s">
        <v>281</v>
      </c>
      <c r="C8" s="125"/>
      <c r="D8" s="131"/>
      <c r="E8" s="125"/>
      <c r="F8" s="131"/>
      <c r="G8" s="125"/>
      <c r="H8" s="131"/>
    </row>
    <row r="9" spans="1:14" x14ac:dyDescent="0.2">
      <c r="A9" s="124">
        <v>2</v>
      </c>
      <c r="B9" s="125" t="s">
        <v>282</v>
      </c>
      <c r="C9" s="125"/>
      <c r="D9" s="131"/>
      <c r="E9" s="125"/>
      <c r="F9" s="131"/>
      <c r="G9" s="125"/>
      <c r="H9" s="131"/>
    </row>
    <row r="10" spans="1:14" x14ac:dyDescent="0.2">
      <c r="A10" s="124">
        <v>3</v>
      </c>
      <c r="B10" s="125" t="s">
        <v>283</v>
      </c>
      <c r="C10" s="125"/>
      <c r="D10" s="131"/>
      <c r="E10" s="125"/>
      <c r="F10" s="131"/>
      <c r="G10" s="125"/>
      <c r="H10" s="131"/>
    </row>
    <row r="11" spans="1:14" x14ac:dyDescent="0.2">
      <c r="A11" s="124">
        <v>4</v>
      </c>
      <c r="B11" s="125" t="s">
        <v>284</v>
      </c>
      <c r="C11" s="125"/>
      <c r="D11" s="131"/>
      <c r="E11" s="125"/>
      <c r="F11" s="131"/>
      <c r="G11" s="125"/>
      <c r="H11" s="131"/>
    </row>
    <row r="12" spans="1:14" x14ac:dyDescent="0.2">
      <c r="A12" s="124">
        <v>5</v>
      </c>
      <c r="B12" s="125" t="s">
        <v>285</v>
      </c>
      <c r="C12" s="125"/>
      <c r="D12" s="131"/>
      <c r="E12" s="125"/>
      <c r="F12" s="131"/>
      <c r="G12" s="125"/>
      <c r="H12" s="131"/>
    </row>
    <row r="13" spans="1:14" x14ac:dyDescent="0.2">
      <c r="A13" s="124">
        <v>6</v>
      </c>
      <c r="B13" s="125" t="s">
        <v>286</v>
      </c>
      <c r="C13" s="125"/>
      <c r="D13" s="131"/>
      <c r="E13" s="125"/>
      <c r="F13" s="131"/>
      <c r="G13" s="125"/>
      <c r="H13" s="131"/>
    </row>
    <row r="14" spans="1:14" x14ac:dyDescent="0.2">
      <c r="A14" s="124">
        <v>7</v>
      </c>
      <c r="B14" s="125" t="s">
        <v>287</v>
      </c>
      <c r="C14" s="125"/>
      <c r="D14" s="131"/>
      <c r="E14" s="125"/>
      <c r="F14" s="131"/>
      <c r="G14" s="125"/>
      <c r="H14" s="131"/>
    </row>
    <row r="15" spans="1:14" x14ac:dyDescent="0.2">
      <c r="A15" s="124">
        <v>8</v>
      </c>
      <c r="B15" s="125" t="s">
        <v>288</v>
      </c>
      <c r="C15" s="125"/>
      <c r="D15" s="131"/>
      <c r="E15" s="125"/>
      <c r="F15" s="131"/>
      <c r="G15" s="125"/>
      <c r="H15" s="131"/>
    </row>
    <row r="16" spans="1:14" x14ac:dyDescent="0.2">
      <c r="A16" s="124">
        <v>9</v>
      </c>
      <c r="B16" s="125" t="s">
        <v>289</v>
      </c>
      <c r="C16" s="125"/>
      <c r="D16" s="131"/>
      <c r="E16" s="125"/>
      <c r="F16" s="131"/>
      <c r="G16" s="125"/>
      <c r="H16" s="131"/>
    </row>
    <row r="17" spans="1:8" x14ac:dyDescent="0.2">
      <c r="A17" s="124">
        <v>10</v>
      </c>
      <c r="B17" s="125" t="s">
        <v>290</v>
      </c>
      <c r="C17" s="125"/>
      <c r="D17" s="131"/>
      <c r="E17" s="125"/>
      <c r="F17" s="131"/>
      <c r="G17" s="125"/>
      <c r="H17" s="131"/>
    </row>
    <row r="18" spans="1:8" x14ac:dyDescent="0.2">
      <c r="A18" s="124">
        <v>11</v>
      </c>
      <c r="B18" s="125" t="s">
        <v>291</v>
      </c>
      <c r="C18" s="125"/>
      <c r="D18" s="131"/>
      <c r="E18" s="125"/>
      <c r="F18" s="131"/>
      <c r="G18" s="125"/>
      <c r="H18" s="131"/>
    </row>
    <row r="19" spans="1:8" x14ac:dyDescent="0.2">
      <c r="A19" s="124">
        <v>12</v>
      </c>
      <c r="B19" s="125" t="s">
        <v>292</v>
      </c>
      <c r="C19" s="125"/>
      <c r="D19" s="131"/>
      <c r="E19" s="125"/>
      <c r="F19" s="131"/>
      <c r="G19" s="125"/>
      <c r="H19" s="131"/>
    </row>
    <row r="20" spans="1:8" x14ac:dyDescent="0.2">
      <c r="A20" s="124">
        <v>13</v>
      </c>
      <c r="B20" s="125" t="s">
        <v>293</v>
      </c>
      <c r="C20" s="125"/>
      <c r="D20" s="131"/>
      <c r="E20" s="125"/>
      <c r="F20" s="131"/>
      <c r="G20" s="125"/>
      <c r="H20" s="131"/>
    </row>
    <row r="21" spans="1:8" x14ac:dyDescent="0.2">
      <c r="A21" s="124">
        <v>14</v>
      </c>
      <c r="B21" s="125" t="s">
        <v>294</v>
      </c>
      <c r="C21" s="125"/>
      <c r="D21" s="131"/>
      <c r="E21" s="125"/>
      <c r="F21" s="131"/>
      <c r="G21" s="125"/>
      <c r="H21" s="131"/>
    </row>
    <row r="22" spans="1:8" x14ac:dyDescent="0.2">
      <c r="A22" s="124">
        <v>15</v>
      </c>
      <c r="B22" s="125" t="s">
        <v>295</v>
      </c>
      <c r="C22" s="125"/>
      <c r="D22" s="131"/>
      <c r="E22" s="125"/>
      <c r="F22" s="131"/>
      <c r="G22" s="125"/>
      <c r="H22" s="131"/>
    </row>
    <row r="23" spans="1:8" x14ac:dyDescent="0.2">
      <c r="A23" s="124">
        <v>16</v>
      </c>
      <c r="B23" s="125" t="s">
        <v>296</v>
      </c>
      <c r="C23" s="125"/>
      <c r="D23" s="131"/>
      <c r="E23" s="125"/>
      <c r="F23" s="131"/>
      <c r="G23" s="125"/>
      <c r="H23" s="131"/>
    </row>
    <row r="24" spans="1:8" x14ac:dyDescent="0.2">
      <c r="A24" s="124">
        <v>17</v>
      </c>
      <c r="B24" s="125" t="s">
        <v>297</v>
      </c>
      <c r="C24" s="125"/>
      <c r="D24" s="131"/>
      <c r="E24" s="125"/>
      <c r="F24" s="131"/>
      <c r="G24" s="125"/>
      <c r="H24" s="131"/>
    </row>
    <row r="25" spans="1:8" x14ac:dyDescent="0.2">
      <c r="A25" s="124">
        <v>18</v>
      </c>
      <c r="B25" s="125" t="s">
        <v>298</v>
      </c>
      <c r="C25" s="125"/>
      <c r="D25" s="131"/>
      <c r="E25" s="125"/>
      <c r="F25" s="131"/>
      <c r="G25" s="125"/>
      <c r="H25" s="131"/>
    </row>
    <row r="26" spans="1:8" x14ac:dyDescent="0.2">
      <c r="A26" s="126"/>
      <c r="B26" s="127" t="s">
        <v>0</v>
      </c>
      <c r="C26" s="127">
        <f>SUM(C8:C25)</f>
        <v>0</v>
      </c>
      <c r="D26" s="132">
        <f t="shared" ref="D26:F26" si="0">SUM(D8:D25)</f>
        <v>0</v>
      </c>
      <c r="E26" s="127">
        <f t="shared" si="0"/>
        <v>0</v>
      </c>
      <c r="F26" s="132">
        <f t="shared" si="0"/>
        <v>0</v>
      </c>
      <c r="G26" s="127">
        <f t="shared" ref="G26" si="1">SUM(G8:G25)</f>
        <v>0</v>
      </c>
      <c r="H26" s="132">
        <f t="shared" ref="H26" si="2">SUM(H8:H25)</f>
        <v>0</v>
      </c>
    </row>
    <row r="27" spans="1:8" x14ac:dyDescent="0.2">
      <c r="D27" s="149" t="s">
        <v>375</v>
      </c>
    </row>
  </sheetData>
  <sortState xmlns:xlrd2="http://schemas.microsoft.com/office/spreadsheetml/2017/richdata2" ref="B5:N55">
    <sortCondition ref="B5:B55"/>
  </sortState>
  <mergeCells count="7">
    <mergeCell ref="C6:D6"/>
    <mergeCell ref="E6:F6"/>
    <mergeCell ref="G6:H6"/>
    <mergeCell ref="A1:H1"/>
    <mergeCell ref="B6:B7"/>
    <mergeCell ref="A6:A7"/>
    <mergeCell ref="A2:H2"/>
  </mergeCells>
  <pageMargins left="1.2" right="0.7" top="1.25" bottom="0.75" header="0.3" footer="0.3"/>
  <pageSetup paperSize="9" scale="101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6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baseColWidth="10" defaultColWidth="9.19921875" defaultRowHeight="13" x14ac:dyDescent="0.2"/>
  <cols>
    <col min="1" max="1" width="4.3984375" style="72" customWidth="1"/>
    <col min="2" max="2" width="41.796875" style="72" customWidth="1"/>
    <col min="3" max="3" width="16.19921875" style="72" customWidth="1"/>
    <col min="4" max="4" width="15.59765625" style="72" bestFit="1" customWidth="1"/>
    <col min="5" max="5" width="16.59765625" style="72" bestFit="1" customWidth="1"/>
    <col min="6" max="16384" width="9.19921875" style="72"/>
  </cols>
  <sheetData>
    <row r="1" spans="1:5" ht="16" x14ac:dyDescent="0.2">
      <c r="A1" s="506" t="s">
        <v>377</v>
      </c>
      <c r="B1" s="506"/>
      <c r="C1" s="506"/>
      <c r="D1" s="506"/>
      <c r="E1" s="506"/>
    </row>
    <row r="2" spans="1:5" x14ac:dyDescent="0.2">
      <c r="E2" s="143" t="s">
        <v>325</v>
      </c>
    </row>
    <row r="3" spans="1:5" s="115" customFormat="1" ht="30" customHeight="1" x14ac:dyDescent="0.2">
      <c r="A3" s="114" t="s">
        <v>208</v>
      </c>
      <c r="B3" s="114" t="s">
        <v>326</v>
      </c>
      <c r="C3" s="114" t="s">
        <v>327</v>
      </c>
      <c r="D3" s="114" t="s">
        <v>328</v>
      </c>
      <c r="E3" s="114" t="s">
        <v>329</v>
      </c>
    </row>
    <row r="4" spans="1:5" x14ac:dyDescent="0.2">
      <c r="A4" s="144">
        <v>1</v>
      </c>
      <c r="B4" s="145" t="s">
        <v>334</v>
      </c>
      <c r="C4" s="145"/>
      <c r="D4" s="146"/>
      <c r="E4" s="146"/>
    </row>
    <row r="5" spans="1:5" x14ac:dyDescent="0.2">
      <c r="A5" s="144">
        <v>2</v>
      </c>
      <c r="B5" s="145" t="s">
        <v>365</v>
      </c>
      <c r="C5" s="145"/>
      <c r="D5" s="146"/>
      <c r="E5" s="146"/>
    </row>
    <row r="6" spans="1:5" x14ac:dyDescent="0.2">
      <c r="A6" s="144">
        <v>3</v>
      </c>
      <c r="B6" s="145" t="s">
        <v>49</v>
      </c>
      <c r="C6" s="145"/>
      <c r="D6" s="146"/>
      <c r="E6" s="146"/>
    </row>
    <row r="7" spans="1:5" x14ac:dyDescent="0.2">
      <c r="A7" s="144">
        <v>4</v>
      </c>
      <c r="B7" s="145" t="s">
        <v>339</v>
      </c>
      <c r="C7" s="145"/>
      <c r="D7" s="146"/>
      <c r="E7" s="146"/>
    </row>
    <row r="8" spans="1:5" x14ac:dyDescent="0.2">
      <c r="A8" s="144">
        <v>5</v>
      </c>
      <c r="B8" s="145" t="s">
        <v>343</v>
      </c>
      <c r="C8" s="145"/>
      <c r="D8" s="146"/>
      <c r="E8" s="146"/>
    </row>
    <row r="9" spans="1:5" x14ac:dyDescent="0.2">
      <c r="A9" s="144">
        <v>6</v>
      </c>
      <c r="B9" s="145" t="s">
        <v>338</v>
      </c>
      <c r="C9" s="145"/>
      <c r="D9" s="146"/>
      <c r="E9" s="146"/>
    </row>
    <row r="10" spans="1:5" x14ac:dyDescent="0.2">
      <c r="A10" s="144">
        <v>7</v>
      </c>
      <c r="B10" s="145" t="s">
        <v>51</v>
      </c>
      <c r="C10" s="145"/>
      <c r="D10" s="146"/>
      <c r="E10" s="146"/>
    </row>
    <row r="11" spans="1:5" x14ac:dyDescent="0.2">
      <c r="A11" s="144">
        <v>8</v>
      </c>
      <c r="B11" s="145" t="s">
        <v>53</v>
      </c>
      <c r="C11" s="145"/>
      <c r="D11" s="146"/>
      <c r="E11" s="146"/>
    </row>
    <row r="12" spans="1:5" x14ac:dyDescent="0.2">
      <c r="A12" s="144">
        <v>9</v>
      </c>
      <c r="B12" s="145" t="s">
        <v>369</v>
      </c>
      <c r="C12" s="145"/>
      <c r="D12" s="146"/>
      <c r="E12" s="146"/>
    </row>
    <row r="13" spans="1:5" x14ac:dyDescent="0.2">
      <c r="A13" s="144">
        <v>10</v>
      </c>
      <c r="B13" s="145" t="s">
        <v>347</v>
      </c>
      <c r="C13" s="145"/>
      <c r="D13" s="146"/>
      <c r="E13" s="146"/>
    </row>
    <row r="14" spans="1:5" x14ac:dyDescent="0.2">
      <c r="A14" s="144">
        <v>11</v>
      </c>
      <c r="B14" s="145" t="s">
        <v>54</v>
      </c>
      <c r="C14" s="145"/>
      <c r="D14" s="146"/>
      <c r="E14" s="146"/>
    </row>
    <row r="15" spans="1:5" x14ac:dyDescent="0.2">
      <c r="A15" s="144">
        <v>12</v>
      </c>
      <c r="B15" s="145" t="s">
        <v>366</v>
      </c>
      <c r="C15" s="145"/>
      <c r="D15" s="146"/>
      <c r="E15" s="146"/>
    </row>
    <row r="16" spans="1:5" x14ac:dyDescent="0.2">
      <c r="A16" s="144">
        <v>13</v>
      </c>
      <c r="B16" s="145" t="s">
        <v>352</v>
      </c>
      <c r="C16" s="145"/>
      <c r="D16" s="146"/>
      <c r="E16" s="146"/>
    </row>
    <row r="17" spans="1:5" x14ac:dyDescent="0.2">
      <c r="A17" s="144">
        <v>14</v>
      </c>
      <c r="B17" s="145" t="s">
        <v>55</v>
      </c>
      <c r="C17" s="145"/>
      <c r="D17" s="146"/>
      <c r="E17" s="146"/>
    </row>
    <row r="18" spans="1:5" x14ac:dyDescent="0.2">
      <c r="A18" s="144">
        <v>15</v>
      </c>
      <c r="B18" s="145" t="s">
        <v>361</v>
      </c>
      <c r="C18" s="145"/>
      <c r="D18" s="146"/>
      <c r="E18" s="146"/>
    </row>
    <row r="19" spans="1:5" x14ac:dyDescent="0.2">
      <c r="A19" s="144">
        <v>16</v>
      </c>
      <c r="B19" s="145" t="s">
        <v>351</v>
      </c>
      <c r="C19" s="145"/>
      <c r="D19" s="146"/>
      <c r="E19" s="146"/>
    </row>
    <row r="20" spans="1:5" x14ac:dyDescent="0.2">
      <c r="A20" s="144">
        <v>17</v>
      </c>
      <c r="B20" s="145" t="s">
        <v>42</v>
      </c>
      <c r="C20" s="145"/>
      <c r="D20" s="146"/>
      <c r="E20" s="146"/>
    </row>
    <row r="21" spans="1:5" x14ac:dyDescent="0.2">
      <c r="A21" s="144">
        <v>18</v>
      </c>
      <c r="B21" s="145" t="s">
        <v>43</v>
      </c>
      <c r="C21" s="145"/>
      <c r="D21" s="146"/>
      <c r="E21" s="146"/>
    </row>
    <row r="22" spans="1:5" x14ac:dyDescent="0.2">
      <c r="A22" s="144">
        <v>19</v>
      </c>
      <c r="B22" s="145" t="s">
        <v>336</v>
      </c>
      <c r="C22" s="145"/>
      <c r="D22" s="146"/>
      <c r="E22" s="146"/>
    </row>
    <row r="23" spans="1:5" x14ac:dyDescent="0.2">
      <c r="A23" s="144">
        <v>20</v>
      </c>
      <c r="B23" s="145" t="s">
        <v>358</v>
      </c>
      <c r="C23" s="145"/>
      <c r="D23" s="146"/>
      <c r="E23" s="146"/>
    </row>
    <row r="24" spans="1:5" x14ac:dyDescent="0.2">
      <c r="A24" s="144">
        <v>21</v>
      </c>
      <c r="B24" s="145" t="s">
        <v>359</v>
      </c>
      <c r="C24" s="145"/>
      <c r="D24" s="146"/>
      <c r="E24" s="146"/>
    </row>
    <row r="25" spans="1:5" x14ac:dyDescent="0.2">
      <c r="A25" s="144">
        <v>22</v>
      </c>
      <c r="B25" s="145" t="s">
        <v>353</v>
      </c>
      <c r="C25" s="145"/>
      <c r="D25" s="146"/>
      <c r="E25" s="146"/>
    </row>
    <row r="26" spans="1:5" x14ac:dyDescent="0.2">
      <c r="A26" s="144">
        <v>23</v>
      </c>
      <c r="B26" s="145" t="s">
        <v>330</v>
      </c>
      <c r="C26" s="145"/>
      <c r="D26" s="146"/>
      <c r="E26" s="146"/>
    </row>
    <row r="27" spans="1:5" x14ac:dyDescent="0.2">
      <c r="A27" s="144">
        <v>24</v>
      </c>
      <c r="B27" s="145" t="s">
        <v>341</v>
      </c>
      <c r="C27" s="145"/>
      <c r="D27" s="146"/>
      <c r="E27" s="146"/>
    </row>
    <row r="28" spans="1:5" x14ac:dyDescent="0.2">
      <c r="A28" s="144">
        <v>25</v>
      </c>
      <c r="B28" s="145" t="s">
        <v>331</v>
      </c>
      <c r="C28" s="145"/>
      <c r="D28" s="146"/>
      <c r="E28" s="146"/>
    </row>
    <row r="29" spans="1:5" x14ac:dyDescent="0.2">
      <c r="A29" s="144">
        <v>26</v>
      </c>
      <c r="B29" s="145" t="s">
        <v>342</v>
      </c>
      <c r="C29" s="145"/>
      <c r="D29" s="146"/>
      <c r="E29" s="146"/>
    </row>
    <row r="30" spans="1:5" x14ac:dyDescent="0.2">
      <c r="A30" s="144">
        <v>27</v>
      </c>
      <c r="B30" s="145" t="s">
        <v>354</v>
      </c>
      <c r="C30" s="145"/>
      <c r="D30" s="146"/>
      <c r="E30" s="146"/>
    </row>
    <row r="31" spans="1:5" x14ac:dyDescent="0.2">
      <c r="A31" s="144">
        <v>28</v>
      </c>
      <c r="B31" s="145" t="s">
        <v>333</v>
      </c>
      <c r="C31" s="145"/>
      <c r="D31" s="146"/>
      <c r="E31" s="146"/>
    </row>
    <row r="32" spans="1:5" x14ac:dyDescent="0.2">
      <c r="A32" s="144">
        <v>29</v>
      </c>
      <c r="B32" s="145" t="s">
        <v>332</v>
      </c>
      <c r="C32" s="145"/>
      <c r="D32" s="146"/>
      <c r="E32" s="146"/>
    </row>
    <row r="33" spans="1:5" x14ac:dyDescent="0.2">
      <c r="A33" s="144">
        <v>30</v>
      </c>
      <c r="B33" s="145" t="s">
        <v>370</v>
      </c>
      <c r="C33" s="145"/>
      <c r="D33" s="146"/>
      <c r="E33" s="146"/>
    </row>
    <row r="34" spans="1:5" x14ac:dyDescent="0.2">
      <c r="A34" s="144">
        <v>31</v>
      </c>
      <c r="B34" s="145" t="s">
        <v>57</v>
      </c>
      <c r="C34" s="145"/>
      <c r="D34" s="146"/>
      <c r="E34" s="146"/>
    </row>
    <row r="35" spans="1:5" x14ac:dyDescent="0.2">
      <c r="A35" s="144">
        <v>32</v>
      </c>
      <c r="B35" s="145" t="s">
        <v>367</v>
      </c>
      <c r="C35" s="145"/>
      <c r="D35" s="146"/>
      <c r="E35" s="146"/>
    </row>
    <row r="36" spans="1:5" x14ac:dyDescent="0.2">
      <c r="A36" s="144">
        <v>33</v>
      </c>
      <c r="B36" s="145" t="s">
        <v>362</v>
      </c>
      <c r="C36" s="145"/>
      <c r="D36" s="146"/>
      <c r="E36" s="146"/>
    </row>
    <row r="37" spans="1:5" x14ac:dyDescent="0.2">
      <c r="A37" s="144">
        <v>34</v>
      </c>
      <c r="B37" s="145" t="s">
        <v>340</v>
      </c>
      <c r="C37" s="145"/>
      <c r="D37" s="146"/>
      <c r="E37" s="146"/>
    </row>
    <row r="38" spans="1:5" x14ac:dyDescent="0.2">
      <c r="A38" s="144">
        <v>35</v>
      </c>
      <c r="B38" s="145" t="s">
        <v>360</v>
      </c>
      <c r="C38" s="145"/>
      <c r="D38" s="146"/>
      <c r="E38" s="146"/>
    </row>
    <row r="39" spans="1:5" x14ac:dyDescent="0.2">
      <c r="A39" s="144">
        <v>36</v>
      </c>
      <c r="B39" s="145" t="s">
        <v>371</v>
      </c>
      <c r="C39" s="145"/>
      <c r="D39" s="146"/>
      <c r="E39" s="146"/>
    </row>
    <row r="40" spans="1:5" x14ac:dyDescent="0.2">
      <c r="A40" s="144">
        <v>37</v>
      </c>
      <c r="B40" s="145" t="s">
        <v>363</v>
      </c>
      <c r="C40" s="145"/>
      <c r="D40" s="146"/>
      <c r="E40" s="146"/>
    </row>
    <row r="41" spans="1:5" x14ac:dyDescent="0.2">
      <c r="A41" s="144">
        <v>38</v>
      </c>
      <c r="B41" s="145" t="s">
        <v>346</v>
      </c>
      <c r="C41" s="145"/>
      <c r="D41" s="146"/>
      <c r="E41" s="146"/>
    </row>
    <row r="42" spans="1:5" x14ac:dyDescent="0.2">
      <c r="A42" s="144">
        <v>39</v>
      </c>
      <c r="B42" s="145" t="s">
        <v>345</v>
      </c>
      <c r="C42" s="145"/>
      <c r="D42" s="146"/>
      <c r="E42" s="146"/>
    </row>
    <row r="43" spans="1:5" x14ac:dyDescent="0.2">
      <c r="A43" s="144">
        <v>40</v>
      </c>
      <c r="B43" s="145" t="s">
        <v>372</v>
      </c>
      <c r="C43" s="145"/>
      <c r="D43" s="146"/>
      <c r="E43" s="146"/>
    </row>
    <row r="44" spans="1:5" x14ac:dyDescent="0.2">
      <c r="A44" s="144">
        <v>41</v>
      </c>
      <c r="B44" s="145" t="s">
        <v>356</v>
      </c>
      <c r="C44" s="145"/>
      <c r="D44" s="146"/>
      <c r="E44" s="146"/>
    </row>
    <row r="45" spans="1:5" x14ac:dyDescent="0.2">
      <c r="A45" s="144">
        <v>42</v>
      </c>
      <c r="B45" s="145" t="s">
        <v>344</v>
      </c>
      <c r="C45" s="145"/>
      <c r="D45" s="146"/>
      <c r="E45" s="146"/>
    </row>
    <row r="46" spans="1:5" x14ac:dyDescent="0.2">
      <c r="A46" s="144">
        <v>43</v>
      </c>
      <c r="B46" s="145" t="s">
        <v>76</v>
      </c>
      <c r="C46" s="145"/>
      <c r="D46" s="146"/>
      <c r="E46" s="146"/>
    </row>
    <row r="47" spans="1:5" x14ac:dyDescent="0.2">
      <c r="A47" s="144">
        <v>44</v>
      </c>
      <c r="B47" s="145" t="s">
        <v>348</v>
      </c>
      <c r="C47" s="145"/>
      <c r="D47" s="146"/>
      <c r="E47" s="146"/>
    </row>
    <row r="48" spans="1:5" x14ac:dyDescent="0.2">
      <c r="A48" s="144">
        <v>45</v>
      </c>
      <c r="B48" s="145" t="s">
        <v>58</v>
      </c>
      <c r="C48" s="145"/>
      <c r="D48" s="146"/>
      <c r="E48" s="146"/>
    </row>
    <row r="49" spans="1:5" x14ac:dyDescent="0.2">
      <c r="A49" s="144">
        <v>46</v>
      </c>
      <c r="B49" s="145" t="s">
        <v>349</v>
      </c>
      <c r="C49" s="145"/>
      <c r="D49" s="146"/>
      <c r="E49" s="146"/>
    </row>
    <row r="50" spans="1:5" x14ac:dyDescent="0.2">
      <c r="A50" s="144">
        <v>47</v>
      </c>
      <c r="B50" s="145" t="s">
        <v>355</v>
      </c>
      <c r="C50" s="145"/>
      <c r="D50" s="146"/>
      <c r="E50" s="146"/>
    </row>
    <row r="51" spans="1:5" x14ac:dyDescent="0.2">
      <c r="A51" s="144">
        <v>48</v>
      </c>
      <c r="B51" s="145" t="s">
        <v>357</v>
      </c>
      <c r="C51" s="145"/>
      <c r="D51" s="146"/>
      <c r="E51" s="146"/>
    </row>
    <row r="52" spans="1:5" x14ac:dyDescent="0.2">
      <c r="A52" s="144">
        <v>49</v>
      </c>
      <c r="B52" s="145" t="s">
        <v>373</v>
      </c>
      <c r="C52" s="145"/>
      <c r="D52" s="146"/>
      <c r="E52" s="146"/>
    </row>
    <row r="53" spans="1:5" x14ac:dyDescent="0.2">
      <c r="A53" s="144">
        <v>50</v>
      </c>
      <c r="B53" s="145" t="s">
        <v>350</v>
      </c>
      <c r="C53" s="145"/>
      <c r="D53" s="146"/>
      <c r="E53" s="146"/>
    </row>
    <row r="54" spans="1:5" x14ac:dyDescent="0.2">
      <c r="A54" s="144">
        <v>51</v>
      </c>
      <c r="B54" s="145" t="s">
        <v>337</v>
      </c>
      <c r="C54" s="145"/>
      <c r="D54" s="146"/>
      <c r="E54" s="146"/>
    </row>
    <row r="55" spans="1:5" x14ac:dyDescent="0.2">
      <c r="A55" s="144">
        <v>52</v>
      </c>
      <c r="B55" s="145" t="s">
        <v>64</v>
      </c>
      <c r="C55" s="145"/>
      <c r="D55" s="146"/>
      <c r="E55" s="146"/>
    </row>
    <row r="56" spans="1:5" x14ac:dyDescent="0.2">
      <c r="A56" s="144">
        <v>53</v>
      </c>
      <c r="B56" s="145" t="s">
        <v>374</v>
      </c>
      <c r="C56" s="145"/>
      <c r="D56" s="146"/>
      <c r="E56" s="146"/>
    </row>
    <row r="57" spans="1:5" x14ac:dyDescent="0.2">
      <c r="A57" s="144">
        <v>54</v>
      </c>
      <c r="B57" s="145" t="s">
        <v>364</v>
      </c>
      <c r="C57" s="145"/>
      <c r="D57" s="146"/>
      <c r="E57" s="146"/>
    </row>
    <row r="58" spans="1:5" x14ac:dyDescent="0.2">
      <c r="A58" s="144">
        <v>55</v>
      </c>
      <c r="B58" s="145" t="s">
        <v>59</v>
      </c>
      <c r="C58" s="145"/>
      <c r="D58" s="146"/>
      <c r="E58" s="146"/>
    </row>
    <row r="59" spans="1:5" x14ac:dyDescent="0.2">
      <c r="A59" s="144">
        <v>56</v>
      </c>
      <c r="B59" s="145" t="s">
        <v>335</v>
      </c>
      <c r="C59" s="145"/>
      <c r="D59" s="146"/>
      <c r="E59" s="146"/>
    </row>
    <row r="60" spans="1:5" x14ac:dyDescent="0.2">
      <c r="A60" s="144">
        <v>57</v>
      </c>
      <c r="B60" s="145" t="s">
        <v>179</v>
      </c>
      <c r="C60" s="145"/>
      <c r="D60" s="146"/>
      <c r="E60" s="146"/>
    </row>
    <row r="61" spans="1:5" x14ac:dyDescent="0.2">
      <c r="A61" s="144">
        <v>58</v>
      </c>
      <c r="B61" s="145" t="s">
        <v>300</v>
      </c>
      <c r="C61" s="145"/>
      <c r="D61" s="146"/>
      <c r="E61" s="146"/>
    </row>
    <row r="62" spans="1:5" x14ac:dyDescent="0.2">
      <c r="A62" s="144">
        <v>59</v>
      </c>
      <c r="B62" s="145" t="s">
        <v>60</v>
      </c>
      <c r="C62" s="145"/>
      <c r="D62" s="146"/>
      <c r="E62" s="146"/>
    </row>
    <row r="63" spans="1:5" x14ac:dyDescent="0.2">
      <c r="A63" s="144">
        <v>60</v>
      </c>
      <c r="B63" s="145" t="s">
        <v>61</v>
      </c>
      <c r="C63" s="145"/>
      <c r="D63" s="146"/>
      <c r="E63" s="146"/>
    </row>
    <row r="64" spans="1:5" x14ac:dyDescent="0.2">
      <c r="A64" s="144">
        <v>61</v>
      </c>
      <c r="B64" s="145" t="s">
        <v>368</v>
      </c>
      <c r="C64" s="145"/>
      <c r="D64" s="146"/>
      <c r="E64" s="146"/>
    </row>
    <row r="65" spans="1:5" x14ac:dyDescent="0.2">
      <c r="A65" s="144">
        <v>62</v>
      </c>
      <c r="B65" s="145" t="s">
        <v>44</v>
      </c>
      <c r="C65" s="145"/>
      <c r="D65" s="146"/>
      <c r="E65" s="146"/>
    </row>
    <row r="66" spans="1:5" x14ac:dyDescent="0.2">
      <c r="A66" s="144">
        <v>63</v>
      </c>
      <c r="B66" s="145" t="s">
        <v>70</v>
      </c>
      <c r="C66" s="145"/>
      <c r="D66" s="146"/>
      <c r="E66" s="146"/>
    </row>
    <row r="67" spans="1:5" ht="14" x14ac:dyDescent="0.2">
      <c r="A67" s="145"/>
      <c r="B67" s="138" t="s">
        <v>1</v>
      </c>
      <c r="C67" s="138">
        <f>SUM(C4:C66)</f>
        <v>0</v>
      </c>
      <c r="D67" s="139">
        <f t="shared" ref="D67:E67" si="0">SUM(D4:D66)</f>
        <v>0</v>
      </c>
      <c r="E67" s="139">
        <f t="shared" si="0"/>
        <v>0</v>
      </c>
    </row>
    <row r="68" spans="1:5" x14ac:dyDescent="0.2">
      <c r="C68" s="73" t="s">
        <v>375</v>
      </c>
    </row>
  </sheetData>
  <sortState xmlns:xlrd2="http://schemas.microsoft.com/office/spreadsheetml/2017/richdata2" ref="B4:E66">
    <sortCondition ref="B4:B66"/>
  </sortState>
  <mergeCells count="1">
    <mergeCell ref="A1:E1"/>
  </mergeCells>
  <pageMargins left="0.7" right="0.7" top="0.75" bottom="0.75" header="0.3" footer="0.3"/>
  <pageSetup scale="73" orientation="portrait" verticalDpi="0" r:id="rId1"/>
  <colBreaks count="1" manualBreakCount="1">
    <brk id="9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68"/>
  <sheetViews>
    <sheetView zoomScaleNormal="100" workbookViewId="0">
      <pane xSplit="2" ySplit="3" topLeftCell="C36" activePane="bottomRight" state="frozen"/>
      <selection pane="topRight" activeCell="B1" sqref="B1"/>
      <selection pane="bottomLeft" activeCell="A4" sqref="A4"/>
      <selection pane="bottomRight" activeCell="K47" sqref="K47"/>
    </sheetView>
  </sheetViews>
  <sheetFormatPr baseColWidth="10" defaultColWidth="9.19921875" defaultRowHeight="13" x14ac:dyDescent="0.2"/>
  <cols>
    <col min="1" max="1" width="6.796875" style="115" customWidth="1"/>
    <col min="2" max="2" width="28.796875" style="116" bestFit="1" customWidth="1"/>
    <col min="3" max="3" width="13.19921875" style="123" customWidth="1"/>
    <col min="4" max="4" width="11.19921875" style="123" customWidth="1"/>
    <col min="5" max="5" width="10.59765625" style="123" customWidth="1"/>
    <col min="6" max="6" width="11.19921875" style="123" customWidth="1"/>
    <col min="7" max="7" width="9.19921875" style="123"/>
    <col min="8" max="16384" width="9.19921875" style="116"/>
  </cols>
  <sheetData>
    <row r="1" spans="1:14" ht="16" x14ac:dyDescent="0.2">
      <c r="B1" s="507" t="s">
        <v>378</v>
      </c>
      <c r="C1" s="507"/>
      <c r="D1" s="507"/>
      <c r="E1" s="507"/>
      <c r="F1" s="507"/>
      <c r="G1" s="507"/>
    </row>
    <row r="2" spans="1:14" x14ac:dyDescent="0.2">
      <c r="F2" s="508" t="s">
        <v>303</v>
      </c>
      <c r="G2" s="508"/>
    </row>
    <row r="3" spans="1:14" ht="75" x14ac:dyDescent="0.2">
      <c r="A3" s="111" t="s">
        <v>110</v>
      </c>
      <c r="B3" s="111" t="s">
        <v>263</v>
      </c>
      <c r="C3" s="110" t="s">
        <v>264</v>
      </c>
      <c r="D3" s="110" t="s">
        <v>265</v>
      </c>
      <c r="E3" s="110" t="s">
        <v>266</v>
      </c>
      <c r="F3" s="110" t="s">
        <v>267</v>
      </c>
      <c r="G3" s="110" t="s">
        <v>268</v>
      </c>
      <c r="H3" s="61"/>
      <c r="I3" s="61"/>
      <c r="J3" s="61"/>
      <c r="K3" s="61"/>
      <c r="L3" s="61"/>
      <c r="M3" s="61"/>
      <c r="N3" s="61"/>
    </row>
    <row r="4" spans="1:14" ht="14" x14ac:dyDescent="0.2">
      <c r="A4" s="118">
        <v>1</v>
      </c>
      <c r="B4" s="35" t="s">
        <v>49</v>
      </c>
      <c r="C4" s="41"/>
      <c r="D4" s="41"/>
      <c r="E4" s="41"/>
      <c r="F4" s="41"/>
      <c r="G4" s="41"/>
      <c r="H4" s="61"/>
      <c r="I4" s="61"/>
      <c r="J4" s="61"/>
      <c r="K4" s="61"/>
      <c r="L4" s="61"/>
      <c r="M4" s="61"/>
      <c r="N4" s="61"/>
    </row>
    <row r="5" spans="1:14" ht="14" x14ac:dyDescent="0.2">
      <c r="A5" s="118">
        <v>2</v>
      </c>
      <c r="B5" s="35" t="s">
        <v>50</v>
      </c>
      <c r="C5" s="41"/>
      <c r="D5" s="41"/>
      <c r="E5" s="41"/>
      <c r="F5" s="41"/>
      <c r="G5" s="41"/>
      <c r="H5" s="61"/>
      <c r="I5" s="61"/>
      <c r="J5" s="61"/>
      <c r="K5" s="61"/>
      <c r="L5" s="61"/>
      <c r="M5" s="61"/>
      <c r="N5" s="61"/>
    </row>
    <row r="6" spans="1:14" ht="14" x14ac:dyDescent="0.2">
      <c r="A6" s="118">
        <v>3</v>
      </c>
      <c r="B6" s="35" t="s">
        <v>51</v>
      </c>
      <c r="C6" s="41"/>
      <c r="D6" s="41"/>
      <c r="E6" s="41"/>
      <c r="F6" s="41"/>
      <c r="G6" s="41"/>
      <c r="H6" s="61"/>
      <c r="I6" s="61"/>
      <c r="J6" s="61"/>
      <c r="K6" s="61"/>
      <c r="L6" s="61"/>
      <c r="M6" s="61"/>
      <c r="N6" s="61"/>
    </row>
    <row r="7" spans="1:14" ht="14" x14ac:dyDescent="0.2">
      <c r="A7" s="118">
        <v>4</v>
      </c>
      <c r="B7" s="35" t="s">
        <v>52</v>
      </c>
      <c r="C7" s="41"/>
      <c r="D7" s="41"/>
      <c r="E7" s="41"/>
      <c r="F7" s="41"/>
      <c r="G7" s="41"/>
      <c r="H7" s="61"/>
      <c r="I7" s="61"/>
      <c r="J7" s="61"/>
      <c r="K7" s="61"/>
      <c r="L7" s="61"/>
      <c r="M7" s="61"/>
      <c r="N7" s="61"/>
    </row>
    <row r="8" spans="1:14" ht="14" x14ac:dyDescent="0.2">
      <c r="A8" s="118">
        <v>5</v>
      </c>
      <c r="B8" s="35" t="s">
        <v>53</v>
      </c>
      <c r="C8" s="41"/>
      <c r="D8" s="41"/>
      <c r="E8" s="41"/>
      <c r="F8" s="41"/>
      <c r="G8" s="41"/>
      <c r="H8" s="61"/>
      <c r="I8" s="61"/>
      <c r="J8" s="61"/>
      <c r="K8" s="61"/>
      <c r="L8" s="61"/>
      <c r="M8" s="61"/>
      <c r="N8" s="61"/>
    </row>
    <row r="9" spans="1:14" ht="14" x14ac:dyDescent="0.2">
      <c r="A9" s="118">
        <v>6</v>
      </c>
      <c r="B9" s="35" t="s">
        <v>54</v>
      </c>
      <c r="C9" s="41"/>
      <c r="D9" s="41"/>
      <c r="E9" s="41"/>
      <c r="F9" s="41"/>
      <c r="G9" s="41"/>
      <c r="H9" s="61"/>
      <c r="I9" s="61"/>
      <c r="J9" s="61"/>
      <c r="K9" s="61"/>
      <c r="L9" s="61"/>
      <c r="M9" s="61"/>
      <c r="N9" s="61"/>
    </row>
    <row r="10" spans="1:14" ht="14" x14ac:dyDescent="0.2">
      <c r="A10" s="118">
        <v>7</v>
      </c>
      <c r="B10" s="35" t="s">
        <v>55</v>
      </c>
      <c r="C10" s="41"/>
      <c r="D10" s="41"/>
      <c r="E10" s="41"/>
      <c r="F10" s="41"/>
      <c r="G10" s="41"/>
      <c r="H10" s="61"/>
      <c r="I10" s="61"/>
      <c r="J10" s="61"/>
      <c r="K10" s="61"/>
      <c r="L10" s="61"/>
      <c r="M10" s="61"/>
      <c r="N10" s="61"/>
    </row>
    <row r="11" spans="1:14" ht="14" x14ac:dyDescent="0.2">
      <c r="A11" s="118">
        <v>8</v>
      </c>
      <c r="B11" s="35" t="s">
        <v>42</v>
      </c>
      <c r="C11" s="41"/>
      <c r="D11" s="41"/>
      <c r="E11" s="41"/>
      <c r="F11" s="41"/>
      <c r="G11" s="41"/>
      <c r="H11" s="61"/>
      <c r="I11" s="61"/>
      <c r="J11" s="61"/>
      <c r="K11" s="61"/>
      <c r="L11" s="61"/>
      <c r="M11" s="61"/>
      <c r="N11" s="61"/>
    </row>
    <row r="12" spans="1:14" ht="14" x14ac:dyDescent="0.2">
      <c r="A12" s="118">
        <v>9</v>
      </c>
      <c r="B12" s="35" t="s">
        <v>43</v>
      </c>
      <c r="C12" s="41"/>
      <c r="D12" s="41"/>
      <c r="E12" s="41"/>
      <c r="F12" s="41"/>
      <c r="G12" s="41"/>
      <c r="H12" s="61"/>
      <c r="I12" s="61"/>
      <c r="J12" s="61"/>
      <c r="K12" s="61"/>
      <c r="L12" s="61"/>
      <c r="M12" s="61"/>
      <c r="N12" s="61"/>
    </row>
    <row r="13" spans="1:14" ht="14" x14ac:dyDescent="0.2">
      <c r="A13" s="118">
        <v>10</v>
      </c>
      <c r="B13" s="35" t="s">
        <v>223</v>
      </c>
      <c r="C13" s="41"/>
      <c r="D13" s="41"/>
      <c r="E13" s="41"/>
      <c r="F13" s="41"/>
      <c r="G13" s="41"/>
      <c r="H13" s="61"/>
      <c r="I13" s="61"/>
      <c r="J13" s="61"/>
      <c r="K13" s="61"/>
      <c r="L13" s="61"/>
      <c r="M13" s="61"/>
      <c r="N13" s="61"/>
    </row>
    <row r="14" spans="1:14" ht="14" x14ac:dyDescent="0.2">
      <c r="A14" s="118">
        <v>11</v>
      </c>
      <c r="B14" s="35" t="s">
        <v>56</v>
      </c>
      <c r="C14" s="41"/>
      <c r="D14" s="41"/>
      <c r="E14" s="41"/>
      <c r="F14" s="41"/>
      <c r="G14" s="41"/>
      <c r="H14" s="61"/>
      <c r="I14" s="61"/>
      <c r="J14" s="61"/>
      <c r="K14" s="61"/>
      <c r="L14" s="61"/>
      <c r="M14" s="61"/>
      <c r="N14" s="61"/>
    </row>
    <row r="15" spans="1:14" ht="14" x14ac:dyDescent="0.2">
      <c r="A15" s="118">
        <v>12</v>
      </c>
      <c r="B15" s="35" t="s">
        <v>57</v>
      </c>
      <c r="C15" s="41"/>
      <c r="D15" s="41"/>
      <c r="E15" s="41"/>
      <c r="F15" s="41"/>
      <c r="G15" s="41"/>
      <c r="H15" s="61"/>
      <c r="I15" s="61"/>
      <c r="J15" s="61"/>
      <c r="K15" s="61"/>
      <c r="L15" s="61"/>
      <c r="M15" s="61"/>
      <c r="N15" s="61"/>
    </row>
    <row r="16" spans="1:14" ht="14" x14ac:dyDescent="0.2">
      <c r="A16" s="118">
        <v>13</v>
      </c>
      <c r="B16" s="35" t="s">
        <v>76</v>
      </c>
      <c r="C16" s="41"/>
      <c r="D16" s="41"/>
      <c r="E16" s="41"/>
      <c r="F16" s="41"/>
      <c r="G16" s="41"/>
      <c r="H16" s="61"/>
      <c r="I16" s="61"/>
      <c r="J16" s="61"/>
      <c r="K16" s="61"/>
      <c r="L16" s="61"/>
      <c r="M16" s="61"/>
      <c r="N16" s="61"/>
    </row>
    <row r="17" spans="1:14" ht="14" x14ac:dyDescent="0.2">
      <c r="A17" s="118">
        <v>14</v>
      </c>
      <c r="B17" s="35" t="s">
        <v>77</v>
      </c>
      <c r="C17" s="41"/>
      <c r="D17" s="41"/>
      <c r="E17" s="41"/>
      <c r="F17" s="41"/>
      <c r="G17" s="41"/>
      <c r="H17" s="61"/>
      <c r="I17" s="61"/>
      <c r="J17" s="61"/>
      <c r="K17" s="61"/>
      <c r="L17" s="61"/>
      <c r="M17" s="61"/>
      <c r="N17" s="61"/>
    </row>
    <row r="18" spans="1:14" ht="14" x14ac:dyDescent="0.2">
      <c r="A18" s="118">
        <v>15</v>
      </c>
      <c r="B18" s="35" t="s">
        <v>58</v>
      </c>
      <c r="C18" s="41"/>
      <c r="D18" s="41"/>
      <c r="E18" s="41"/>
      <c r="F18" s="41"/>
      <c r="G18" s="41"/>
      <c r="H18" s="61"/>
      <c r="I18" s="61"/>
      <c r="J18" s="61"/>
      <c r="K18" s="61"/>
      <c r="L18" s="61"/>
      <c r="M18" s="61"/>
      <c r="N18" s="61"/>
    </row>
    <row r="19" spans="1:14" ht="14" x14ac:dyDescent="0.2">
      <c r="A19" s="118">
        <v>16</v>
      </c>
      <c r="B19" s="35" t="s">
        <v>64</v>
      </c>
      <c r="C19" s="41"/>
      <c r="D19" s="41"/>
      <c r="E19" s="41"/>
      <c r="F19" s="41"/>
      <c r="G19" s="41"/>
      <c r="H19" s="61"/>
      <c r="I19" s="61"/>
      <c r="J19" s="61"/>
      <c r="K19" s="61"/>
      <c r="L19" s="61"/>
      <c r="M19" s="61"/>
      <c r="N19" s="61"/>
    </row>
    <row r="20" spans="1:14" ht="14" x14ac:dyDescent="0.2">
      <c r="A20" s="118">
        <v>17</v>
      </c>
      <c r="B20" s="35" t="s">
        <v>59</v>
      </c>
      <c r="C20" s="41"/>
      <c r="D20" s="41"/>
      <c r="E20" s="41"/>
      <c r="F20" s="41"/>
      <c r="G20" s="41"/>
      <c r="H20" s="61"/>
      <c r="I20" s="61"/>
      <c r="J20" s="61"/>
      <c r="K20" s="61"/>
      <c r="L20" s="61"/>
      <c r="M20" s="61"/>
      <c r="N20" s="61"/>
    </row>
    <row r="21" spans="1:14" ht="14" x14ac:dyDescent="0.2">
      <c r="A21" s="118">
        <v>18</v>
      </c>
      <c r="B21" s="35" t="s">
        <v>179</v>
      </c>
      <c r="C21" s="41"/>
      <c r="D21" s="41"/>
      <c r="E21" s="41"/>
      <c r="F21" s="41"/>
      <c r="G21" s="41"/>
      <c r="H21" s="61"/>
      <c r="I21" s="61"/>
      <c r="J21" s="61"/>
      <c r="K21" s="61"/>
      <c r="L21" s="61"/>
      <c r="M21" s="61"/>
      <c r="N21" s="61"/>
    </row>
    <row r="22" spans="1:14" ht="14" x14ac:dyDescent="0.2">
      <c r="A22" s="118">
        <v>19</v>
      </c>
      <c r="B22" s="35" t="s">
        <v>60</v>
      </c>
      <c r="C22" s="41"/>
      <c r="D22" s="41"/>
      <c r="E22" s="41"/>
      <c r="F22" s="41"/>
      <c r="G22" s="41"/>
      <c r="H22" s="61"/>
      <c r="I22" s="61"/>
      <c r="J22" s="61"/>
      <c r="K22" s="61"/>
      <c r="L22" s="61"/>
      <c r="M22" s="61"/>
      <c r="N22" s="61"/>
    </row>
    <row r="23" spans="1:14" ht="14" x14ac:dyDescent="0.2">
      <c r="A23" s="118">
        <v>20</v>
      </c>
      <c r="B23" s="35" t="s">
        <v>61</v>
      </c>
      <c r="C23" s="41"/>
      <c r="D23" s="41"/>
      <c r="E23" s="41"/>
      <c r="F23" s="41"/>
      <c r="G23" s="41"/>
      <c r="H23" s="61"/>
      <c r="I23" s="61"/>
      <c r="J23" s="61"/>
      <c r="K23" s="61"/>
      <c r="L23" s="61"/>
      <c r="M23" s="61"/>
      <c r="N23" s="61"/>
    </row>
    <row r="24" spans="1:14" ht="14" x14ac:dyDescent="0.2">
      <c r="A24" s="118">
        <v>21</v>
      </c>
      <c r="B24" s="35" t="s">
        <v>44</v>
      </c>
      <c r="C24" s="41"/>
      <c r="D24" s="41"/>
      <c r="E24" s="41"/>
      <c r="F24" s="41"/>
      <c r="G24" s="41"/>
      <c r="H24" s="61"/>
      <c r="I24" s="61"/>
      <c r="J24" s="61"/>
      <c r="K24" s="61"/>
      <c r="L24" s="61"/>
      <c r="M24" s="61"/>
      <c r="N24" s="61"/>
    </row>
    <row r="25" spans="1:14" s="120" customFormat="1" ht="14" x14ac:dyDescent="0.2">
      <c r="A25" s="111"/>
      <c r="B25" s="65" t="s">
        <v>315</v>
      </c>
      <c r="C25" s="39"/>
      <c r="D25" s="39"/>
      <c r="E25" s="39"/>
      <c r="F25" s="39"/>
      <c r="G25" s="39"/>
      <c r="H25" s="119"/>
      <c r="I25" s="119"/>
      <c r="J25" s="119"/>
      <c r="K25" s="119"/>
      <c r="L25" s="119"/>
      <c r="M25" s="119"/>
      <c r="N25" s="119"/>
    </row>
    <row r="26" spans="1:14" ht="14" x14ac:dyDescent="0.2">
      <c r="A26" s="118">
        <v>22</v>
      </c>
      <c r="B26" s="35" t="s">
        <v>269</v>
      </c>
      <c r="C26" s="41"/>
      <c r="D26" s="41"/>
      <c r="E26" s="41"/>
      <c r="F26" s="41"/>
      <c r="G26" s="41"/>
      <c r="H26" s="61"/>
      <c r="I26" s="61"/>
      <c r="J26" s="61"/>
      <c r="K26" s="61"/>
      <c r="L26" s="61"/>
      <c r="M26" s="61"/>
      <c r="N26" s="61"/>
    </row>
    <row r="27" spans="1:14" ht="14" x14ac:dyDescent="0.2">
      <c r="A27" s="118">
        <v>23</v>
      </c>
      <c r="B27" s="35" t="s">
        <v>234</v>
      </c>
      <c r="C27" s="41"/>
      <c r="D27" s="41"/>
      <c r="E27" s="41"/>
      <c r="F27" s="41"/>
      <c r="G27" s="41"/>
      <c r="H27" s="61"/>
      <c r="I27" s="61"/>
      <c r="J27" s="61"/>
      <c r="K27" s="61"/>
      <c r="L27" s="61"/>
      <c r="M27" s="61"/>
      <c r="N27" s="61"/>
    </row>
    <row r="28" spans="1:14" ht="14" x14ac:dyDescent="0.2">
      <c r="A28" s="118">
        <v>24</v>
      </c>
      <c r="B28" s="35" t="s">
        <v>180</v>
      </c>
      <c r="C28" s="41"/>
      <c r="D28" s="41"/>
      <c r="E28" s="41"/>
      <c r="F28" s="41"/>
      <c r="G28" s="41"/>
      <c r="H28" s="61"/>
      <c r="I28" s="61"/>
      <c r="J28" s="61"/>
      <c r="K28" s="61"/>
      <c r="L28" s="61"/>
      <c r="M28" s="61"/>
      <c r="N28" s="61"/>
    </row>
    <row r="29" spans="1:14" ht="14" x14ac:dyDescent="0.2">
      <c r="A29" s="118">
        <v>25</v>
      </c>
      <c r="B29" s="35" t="s">
        <v>301</v>
      </c>
      <c r="C29" s="41"/>
      <c r="D29" s="41"/>
      <c r="E29" s="41"/>
      <c r="F29" s="41"/>
      <c r="G29" s="41"/>
      <c r="H29" s="61"/>
      <c r="I29" s="61"/>
      <c r="J29" s="61"/>
      <c r="K29" s="61"/>
      <c r="L29" s="61"/>
      <c r="M29" s="61"/>
      <c r="N29" s="61"/>
    </row>
    <row r="30" spans="1:14" ht="14" x14ac:dyDescent="0.2">
      <c r="A30" s="118">
        <v>26</v>
      </c>
      <c r="B30" s="35" t="s">
        <v>235</v>
      </c>
      <c r="C30" s="41"/>
      <c r="D30" s="41"/>
      <c r="E30" s="41"/>
      <c r="F30" s="41"/>
      <c r="G30" s="41"/>
      <c r="H30" s="61"/>
      <c r="I30" s="61"/>
      <c r="J30" s="61"/>
      <c r="K30" s="61"/>
      <c r="L30" s="61"/>
      <c r="M30" s="61"/>
      <c r="N30" s="61"/>
    </row>
    <row r="31" spans="1:14" ht="14" x14ac:dyDescent="0.2">
      <c r="A31" s="118">
        <v>27</v>
      </c>
      <c r="B31" s="35" t="s">
        <v>270</v>
      </c>
      <c r="C31" s="41"/>
      <c r="D31" s="41"/>
      <c r="E31" s="41"/>
      <c r="F31" s="41"/>
      <c r="G31" s="41"/>
      <c r="H31" s="61"/>
      <c r="I31" s="61"/>
      <c r="J31" s="61"/>
      <c r="K31" s="61"/>
      <c r="L31" s="61"/>
      <c r="M31" s="61"/>
      <c r="N31" s="61"/>
    </row>
    <row r="32" spans="1:14" ht="14" x14ac:dyDescent="0.2">
      <c r="A32" s="118">
        <v>28</v>
      </c>
      <c r="B32" s="35" t="s">
        <v>271</v>
      </c>
      <c r="C32" s="41"/>
      <c r="D32" s="41"/>
      <c r="E32" s="41"/>
      <c r="F32" s="41"/>
      <c r="G32" s="41"/>
      <c r="H32" s="61"/>
      <c r="I32" s="61"/>
      <c r="J32" s="61"/>
      <c r="K32" s="61"/>
      <c r="L32" s="61"/>
      <c r="M32" s="61"/>
      <c r="N32" s="61"/>
    </row>
    <row r="33" spans="1:14" ht="14" x14ac:dyDescent="0.2">
      <c r="A33" s="118">
        <v>29</v>
      </c>
      <c r="B33" s="35" t="s">
        <v>236</v>
      </c>
      <c r="C33" s="41"/>
      <c r="D33" s="41"/>
      <c r="E33" s="41"/>
      <c r="F33" s="41"/>
      <c r="G33" s="41"/>
      <c r="H33" s="61"/>
      <c r="I33" s="61"/>
      <c r="J33" s="61"/>
      <c r="K33" s="61"/>
      <c r="L33" s="61"/>
      <c r="M33" s="61"/>
      <c r="N33" s="61"/>
    </row>
    <row r="34" spans="1:14" ht="14" x14ac:dyDescent="0.2">
      <c r="A34" s="118">
        <v>30</v>
      </c>
      <c r="B34" s="35" t="s">
        <v>237</v>
      </c>
      <c r="C34" s="41"/>
      <c r="D34" s="41"/>
      <c r="E34" s="41"/>
      <c r="F34" s="41"/>
      <c r="G34" s="41"/>
      <c r="H34" s="61"/>
      <c r="I34" s="61"/>
      <c r="J34" s="61"/>
      <c r="K34" s="61"/>
      <c r="L34" s="61"/>
      <c r="M34" s="61"/>
      <c r="N34" s="61"/>
    </row>
    <row r="35" spans="1:14" ht="14" x14ac:dyDescent="0.2">
      <c r="A35" s="118">
        <v>31</v>
      </c>
      <c r="B35" s="35" t="s">
        <v>238</v>
      </c>
      <c r="C35" s="41"/>
      <c r="D35" s="41"/>
      <c r="E35" s="41"/>
      <c r="F35" s="41"/>
      <c r="G35" s="41"/>
      <c r="H35" s="61"/>
      <c r="I35" s="61"/>
      <c r="J35" s="61"/>
      <c r="K35" s="61"/>
      <c r="L35" s="61"/>
      <c r="M35" s="61"/>
      <c r="N35" s="61"/>
    </row>
    <row r="36" spans="1:14" ht="14" x14ac:dyDescent="0.2">
      <c r="A36" s="118">
        <v>32</v>
      </c>
      <c r="B36" s="35" t="s">
        <v>272</v>
      </c>
      <c r="C36" s="41"/>
      <c r="D36" s="41"/>
      <c r="E36" s="41"/>
      <c r="F36" s="41"/>
      <c r="G36" s="41"/>
      <c r="H36" s="61"/>
      <c r="I36" s="61"/>
      <c r="J36" s="61"/>
      <c r="K36" s="61"/>
      <c r="L36" s="61"/>
      <c r="M36" s="61"/>
      <c r="N36" s="61"/>
    </row>
    <row r="37" spans="1:14" ht="14" x14ac:dyDescent="0.2">
      <c r="A37" s="118">
        <v>33</v>
      </c>
      <c r="B37" s="35" t="s">
        <v>239</v>
      </c>
      <c r="C37" s="41"/>
      <c r="D37" s="41"/>
      <c r="E37" s="41"/>
      <c r="F37" s="41"/>
      <c r="G37" s="41"/>
      <c r="H37" s="61"/>
      <c r="I37" s="61"/>
      <c r="J37" s="61"/>
      <c r="K37" s="61"/>
      <c r="L37" s="61"/>
      <c r="M37" s="61"/>
      <c r="N37" s="61"/>
    </row>
    <row r="38" spans="1:14" ht="14" x14ac:dyDescent="0.2">
      <c r="A38" s="118">
        <v>34</v>
      </c>
      <c r="B38" s="35" t="s">
        <v>240</v>
      </c>
      <c r="C38" s="41"/>
      <c r="D38" s="41"/>
      <c r="E38" s="41"/>
      <c r="F38" s="41"/>
      <c r="G38" s="41"/>
      <c r="H38" s="61"/>
      <c r="I38" s="61"/>
      <c r="J38" s="61"/>
      <c r="K38" s="61"/>
      <c r="L38" s="61"/>
      <c r="M38" s="61"/>
      <c r="N38" s="61"/>
    </row>
    <row r="39" spans="1:14" ht="14" x14ac:dyDescent="0.2">
      <c r="A39" s="118">
        <v>35</v>
      </c>
      <c r="B39" s="35" t="s">
        <v>82</v>
      </c>
      <c r="C39" s="41"/>
      <c r="D39" s="41"/>
      <c r="E39" s="41"/>
      <c r="F39" s="41"/>
      <c r="G39" s="41"/>
      <c r="H39" s="61"/>
      <c r="I39" s="61"/>
      <c r="J39" s="61"/>
      <c r="K39" s="61"/>
      <c r="L39" s="61"/>
      <c r="M39" s="61"/>
      <c r="N39" s="61"/>
    </row>
    <row r="40" spans="1:14" ht="14" x14ac:dyDescent="0.2">
      <c r="A40" s="118">
        <v>36</v>
      </c>
      <c r="B40" s="35" t="s">
        <v>87</v>
      </c>
      <c r="C40" s="41"/>
      <c r="D40" s="41"/>
      <c r="E40" s="41"/>
      <c r="F40" s="41"/>
      <c r="G40" s="41"/>
      <c r="H40" s="61"/>
      <c r="I40" s="61"/>
      <c r="J40" s="61"/>
      <c r="K40" s="61"/>
      <c r="L40" s="61"/>
      <c r="M40" s="61"/>
      <c r="N40" s="61"/>
    </row>
    <row r="41" spans="1:14" ht="14" x14ac:dyDescent="0.2">
      <c r="A41" s="118">
        <v>37</v>
      </c>
      <c r="B41" s="35" t="s">
        <v>241</v>
      </c>
      <c r="C41" s="41"/>
      <c r="D41" s="41"/>
      <c r="E41" s="41"/>
      <c r="F41" s="41"/>
      <c r="G41" s="41"/>
      <c r="H41" s="61"/>
      <c r="I41" s="61"/>
      <c r="J41" s="61"/>
      <c r="K41" s="61"/>
      <c r="L41" s="61"/>
      <c r="M41" s="61"/>
      <c r="N41" s="61"/>
    </row>
    <row r="42" spans="1:14" ht="14" x14ac:dyDescent="0.2">
      <c r="A42" s="118">
        <v>38</v>
      </c>
      <c r="B42" s="35" t="s">
        <v>242</v>
      </c>
      <c r="C42" s="41"/>
      <c r="D42" s="41"/>
      <c r="E42" s="41"/>
      <c r="F42" s="41"/>
      <c r="G42" s="41"/>
      <c r="H42" s="61"/>
      <c r="I42" s="61"/>
      <c r="J42" s="61"/>
      <c r="K42" s="61"/>
      <c r="L42" s="61"/>
      <c r="M42" s="61"/>
      <c r="N42" s="61"/>
    </row>
    <row r="43" spans="1:14" ht="14" x14ac:dyDescent="0.2">
      <c r="A43" s="118">
        <v>39</v>
      </c>
      <c r="B43" s="35" t="s">
        <v>243</v>
      </c>
      <c r="C43" s="41"/>
      <c r="D43" s="41"/>
      <c r="E43" s="41"/>
      <c r="F43" s="41"/>
      <c r="G43" s="41"/>
      <c r="H43" s="61"/>
      <c r="I43" s="61"/>
      <c r="J43" s="61"/>
      <c r="K43" s="61"/>
      <c r="L43" s="61"/>
      <c r="M43" s="61"/>
      <c r="N43" s="61"/>
    </row>
    <row r="44" spans="1:14" ht="14" x14ac:dyDescent="0.2">
      <c r="A44" s="118">
        <v>40</v>
      </c>
      <c r="B44" s="35" t="s">
        <v>244</v>
      </c>
      <c r="C44" s="41"/>
      <c r="D44" s="41"/>
      <c r="E44" s="41"/>
      <c r="F44" s="41"/>
      <c r="G44" s="41"/>
      <c r="H44" s="61"/>
      <c r="I44" s="61"/>
      <c r="J44" s="61"/>
      <c r="K44" s="61"/>
      <c r="L44" s="61"/>
      <c r="M44" s="61"/>
      <c r="N44" s="61"/>
    </row>
    <row r="45" spans="1:14" ht="14" x14ac:dyDescent="0.2">
      <c r="A45" s="118">
        <v>41</v>
      </c>
      <c r="B45" s="35" t="s">
        <v>302</v>
      </c>
      <c r="C45" s="41"/>
      <c r="D45" s="41"/>
      <c r="E45" s="41"/>
      <c r="F45" s="41"/>
      <c r="G45" s="41"/>
      <c r="H45" s="61"/>
      <c r="I45" s="61"/>
      <c r="J45" s="61"/>
      <c r="K45" s="61"/>
      <c r="L45" s="61"/>
      <c r="M45" s="61"/>
      <c r="N45" s="61"/>
    </row>
    <row r="46" spans="1:14" ht="14" x14ac:dyDescent="0.2">
      <c r="A46" s="118">
        <v>42</v>
      </c>
      <c r="B46" s="35" t="s">
        <v>245</v>
      </c>
      <c r="C46" s="41"/>
      <c r="D46" s="41"/>
      <c r="E46" s="41"/>
      <c r="F46" s="41"/>
      <c r="G46" s="41"/>
      <c r="H46" s="61"/>
      <c r="I46" s="61"/>
      <c r="J46" s="61"/>
      <c r="K46" s="61"/>
      <c r="L46" s="61"/>
      <c r="M46" s="61"/>
      <c r="N46" s="61"/>
    </row>
    <row r="47" spans="1:14" ht="14" x14ac:dyDescent="0.2">
      <c r="A47" s="118"/>
      <c r="B47" s="65" t="s">
        <v>316</v>
      </c>
      <c r="C47" s="39"/>
      <c r="D47" s="39"/>
      <c r="E47" s="39"/>
      <c r="F47" s="39"/>
      <c r="G47" s="39"/>
      <c r="H47" s="61"/>
      <c r="I47" s="61"/>
      <c r="J47" s="61"/>
      <c r="K47" s="61"/>
      <c r="L47" s="61"/>
      <c r="M47" s="61"/>
      <c r="N47" s="61"/>
    </row>
    <row r="48" spans="1:14" ht="14" x14ac:dyDescent="0.2">
      <c r="A48" s="118">
        <v>43</v>
      </c>
      <c r="B48" s="35" t="s">
        <v>46</v>
      </c>
      <c r="C48" s="41"/>
      <c r="D48" s="41"/>
      <c r="E48" s="41"/>
      <c r="F48" s="41"/>
      <c r="G48" s="41"/>
      <c r="H48" s="61"/>
      <c r="I48" s="61"/>
      <c r="J48" s="61"/>
      <c r="K48" s="61"/>
      <c r="L48" s="61"/>
      <c r="M48" s="61"/>
      <c r="N48" s="61"/>
    </row>
    <row r="49" spans="1:14" ht="14" x14ac:dyDescent="0.2">
      <c r="A49" s="118">
        <v>44</v>
      </c>
      <c r="B49" s="35" t="s">
        <v>40</v>
      </c>
      <c r="C49" s="41"/>
      <c r="D49" s="41"/>
      <c r="E49" s="41"/>
      <c r="F49" s="41"/>
      <c r="G49" s="41"/>
      <c r="H49" s="61"/>
      <c r="I49" s="61"/>
      <c r="J49" s="61"/>
      <c r="K49" s="61"/>
      <c r="L49" s="61"/>
      <c r="M49" s="61"/>
      <c r="N49" s="61"/>
    </row>
    <row r="50" spans="1:14" ht="14" x14ac:dyDescent="0.2">
      <c r="A50" s="118">
        <v>45</v>
      </c>
      <c r="B50" s="35" t="s">
        <v>193</v>
      </c>
      <c r="C50" s="41"/>
      <c r="D50" s="41"/>
      <c r="E50" s="41"/>
      <c r="F50" s="41"/>
      <c r="G50" s="41"/>
      <c r="H50" s="61"/>
      <c r="I50" s="61"/>
      <c r="J50" s="61"/>
      <c r="K50" s="61"/>
      <c r="L50" s="61"/>
      <c r="M50" s="61"/>
      <c r="N50" s="61"/>
    </row>
    <row r="51" spans="1:14" s="120" customFormat="1" ht="14" x14ac:dyDescent="0.2">
      <c r="A51" s="111"/>
      <c r="B51" s="65" t="s">
        <v>317</v>
      </c>
      <c r="C51" s="39"/>
      <c r="D51" s="39"/>
      <c r="E51" s="39"/>
      <c r="F51" s="39"/>
      <c r="G51" s="39"/>
      <c r="H51" s="119"/>
      <c r="I51" s="119"/>
      <c r="J51" s="119"/>
      <c r="K51" s="119"/>
      <c r="L51" s="119"/>
      <c r="M51" s="119"/>
      <c r="N51" s="119"/>
    </row>
    <row r="52" spans="1:14" ht="15" x14ac:dyDescent="0.2">
      <c r="A52" s="111"/>
      <c r="B52" s="121" t="s">
        <v>0</v>
      </c>
      <c r="C52" s="122">
        <f>C51+C47+C25</f>
        <v>0</v>
      </c>
      <c r="D52" s="122">
        <f t="shared" ref="D52:F52" si="0">D51+D47+D25</f>
        <v>0</v>
      </c>
      <c r="E52" s="39" t="e">
        <f t="shared" ref="E52" si="1">D52*100/C52</f>
        <v>#DIV/0!</v>
      </c>
      <c r="F52" s="122">
        <f t="shared" si="0"/>
        <v>0</v>
      </c>
      <c r="G52" s="39" t="e">
        <f t="shared" ref="G52" si="2">F52*100/C52</f>
        <v>#DIV/0!</v>
      </c>
      <c r="H52" s="61"/>
      <c r="I52" s="61"/>
      <c r="J52" s="61"/>
      <c r="K52" s="61"/>
      <c r="L52" s="61"/>
      <c r="M52" s="61"/>
      <c r="N52" s="61"/>
    </row>
    <row r="53" spans="1:14" ht="15" x14ac:dyDescent="0.2">
      <c r="A53" s="117"/>
      <c r="B53" s="61"/>
      <c r="C53" s="86"/>
      <c r="D53" s="150" t="s">
        <v>375</v>
      </c>
      <c r="E53" s="86"/>
      <c r="F53" s="86"/>
      <c r="G53" s="86"/>
      <c r="H53" s="61"/>
      <c r="I53" s="61"/>
      <c r="J53" s="61"/>
      <c r="K53" s="61"/>
      <c r="L53" s="61"/>
      <c r="M53" s="61"/>
      <c r="N53" s="61"/>
    </row>
    <row r="54" spans="1:14" ht="14" x14ac:dyDescent="0.2">
      <c r="A54" s="117"/>
      <c r="B54" s="61"/>
      <c r="C54" s="86"/>
      <c r="D54" s="86"/>
      <c r="E54" s="86"/>
      <c r="F54" s="86"/>
      <c r="G54" s="86"/>
      <c r="H54" s="61"/>
      <c r="I54" s="61"/>
      <c r="J54" s="61"/>
      <c r="K54" s="61"/>
      <c r="L54" s="61"/>
      <c r="M54" s="61"/>
      <c r="N54" s="61"/>
    </row>
    <row r="55" spans="1:14" ht="14" x14ac:dyDescent="0.2">
      <c r="A55" s="117"/>
      <c r="B55" s="61"/>
      <c r="C55" s="86"/>
      <c r="D55" s="86"/>
      <c r="E55" s="86"/>
      <c r="F55" s="86"/>
      <c r="G55" s="86"/>
      <c r="H55" s="61"/>
      <c r="I55" s="61"/>
      <c r="J55" s="61"/>
      <c r="K55" s="61"/>
      <c r="L55" s="61"/>
      <c r="M55" s="61"/>
      <c r="N55" s="61"/>
    </row>
    <row r="56" spans="1:14" ht="14" x14ac:dyDescent="0.2">
      <c r="A56" s="117"/>
      <c r="B56" s="61"/>
      <c r="C56" s="86"/>
      <c r="D56" s="86"/>
      <c r="E56" s="86"/>
      <c r="F56" s="86"/>
      <c r="G56" s="86"/>
      <c r="H56" s="61"/>
      <c r="I56" s="61"/>
      <c r="J56" s="61"/>
      <c r="K56" s="61"/>
      <c r="L56" s="61"/>
      <c r="M56" s="61"/>
      <c r="N56" s="61"/>
    </row>
    <row r="57" spans="1:14" ht="14" x14ac:dyDescent="0.2">
      <c r="A57" s="117"/>
      <c r="B57" s="61"/>
      <c r="C57" s="86"/>
      <c r="D57" s="86"/>
      <c r="E57" s="86"/>
      <c r="F57" s="86"/>
      <c r="G57" s="86"/>
      <c r="H57" s="61"/>
      <c r="I57" s="61"/>
      <c r="J57" s="61"/>
      <c r="K57" s="61"/>
      <c r="L57" s="61"/>
      <c r="M57" s="61"/>
      <c r="N57" s="61"/>
    </row>
    <row r="58" spans="1:14" ht="14" x14ac:dyDescent="0.2">
      <c r="A58" s="117"/>
      <c r="B58" s="61"/>
      <c r="C58" s="86"/>
      <c r="D58" s="86"/>
      <c r="E58" s="86"/>
      <c r="F58" s="86"/>
      <c r="G58" s="86"/>
      <c r="H58" s="61"/>
      <c r="I58" s="61"/>
      <c r="J58" s="61"/>
      <c r="K58" s="61"/>
      <c r="L58" s="61"/>
      <c r="M58" s="61"/>
      <c r="N58" s="61"/>
    </row>
    <row r="59" spans="1:14" ht="14" x14ac:dyDescent="0.2">
      <c r="A59" s="117"/>
      <c r="B59" s="61"/>
      <c r="C59" s="86"/>
      <c r="D59" s="86"/>
      <c r="E59" s="86"/>
      <c r="F59" s="86"/>
      <c r="G59" s="86"/>
      <c r="H59" s="61"/>
      <c r="I59" s="61"/>
      <c r="J59" s="61"/>
      <c r="K59" s="61"/>
      <c r="L59" s="61"/>
      <c r="M59" s="61"/>
      <c r="N59" s="61"/>
    </row>
    <row r="60" spans="1:14" ht="14" x14ac:dyDescent="0.2">
      <c r="A60" s="117"/>
      <c r="B60" s="61"/>
      <c r="C60" s="86"/>
      <c r="D60" s="86"/>
      <c r="E60" s="86"/>
      <c r="F60" s="86"/>
      <c r="G60" s="86"/>
      <c r="H60" s="61"/>
      <c r="I60" s="61"/>
      <c r="J60" s="61"/>
      <c r="K60" s="61"/>
      <c r="L60" s="61"/>
      <c r="M60" s="61"/>
      <c r="N60" s="61"/>
    </row>
    <row r="61" spans="1:14" ht="14" x14ac:dyDescent="0.2">
      <c r="A61" s="117"/>
      <c r="B61" s="61"/>
      <c r="C61" s="86"/>
      <c r="D61" s="86"/>
      <c r="E61" s="86"/>
      <c r="F61" s="86"/>
      <c r="G61" s="86"/>
      <c r="H61" s="61"/>
      <c r="I61" s="61"/>
      <c r="J61" s="61"/>
      <c r="K61" s="61"/>
      <c r="L61" s="61"/>
      <c r="M61" s="61"/>
      <c r="N61" s="61"/>
    </row>
    <row r="62" spans="1:14" ht="14" x14ac:dyDescent="0.2">
      <c r="A62" s="117"/>
      <c r="B62" s="61"/>
      <c r="C62" s="86"/>
      <c r="D62" s="86"/>
      <c r="E62" s="86"/>
      <c r="F62" s="86"/>
      <c r="G62" s="86"/>
      <c r="H62" s="61"/>
      <c r="I62" s="61"/>
      <c r="J62" s="61"/>
      <c r="K62" s="61"/>
      <c r="L62" s="61"/>
      <c r="M62" s="61"/>
      <c r="N62" s="61"/>
    </row>
    <row r="63" spans="1:14" ht="14" x14ac:dyDescent="0.2">
      <c r="A63" s="117"/>
      <c r="B63" s="61"/>
      <c r="C63" s="86"/>
      <c r="D63" s="86"/>
      <c r="E63" s="86"/>
      <c r="F63" s="86"/>
      <c r="G63" s="86"/>
      <c r="H63" s="61"/>
      <c r="I63" s="61"/>
      <c r="J63" s="61"/>
      <c r="K63" s="61"/>
      <c r="L63" s="61"/>
      <c r="M63" s="61"/>
      <c r="N63" s="61"/>
    </row>
    <row r="64" spans="1:14" ht="14" x14ac:dyDescent="0.2">
      <c r="A64" s="117"/>
      <c r="B64" s="61"/>
      <c r="C64" s="86"/>
      <c r="D64" s="86"/>
      <c r="E64" s="86"/>
      <c r="F64" s="86"/>
      <c r="G64" s="86"/>
      <c r="H64" s="61"/>
      <c r="I64" s="61"/>
      <c r="J64" s="61"/>
      <c r="K64" s="61"/>
      <c r="L64" s="61"/>
      <c r="M64" s="61"/>
      <c r="N64" s="61"/>
    </row>
    <row r="65" spans="1:14" ht="14" x14ac:dyDescent="0.2">
      <c r="A65" s="117"/>
      <c r="B65" s="61"/>
      <c r="C65" s="86"/>
      <c r="D65" s="86"/>
      <c r="E65" s="86"/>
      <c r="F65" s="86"/>
      <c r="G65" s="86"/>
      <c r="H65" s="61"/>
      <c r="I65" s="61"/>
      <c r="J65" s="61"/>
      <c r="K65" s="61"/>
      <c r="L65" s="61"/>
      <c r="M65" s="61"/>
      <c r="N65" s="61"/>
    </row>
    <row r="66" spans="1:14" ht="14" x14ac:dyDescent="0.2">
      <c r="A66" s="117"/>
      <c r="B66" s="61"/>
      <c r="C66" s="86"/>
      <c r="D66" s="86"/>
      <c r="E66" s="86"/>
      <c r="F66" s="86"/>
      <c r="G66" s="86"/>
      <c r="H66" s="61"/>
      <c r="I66" s="61"/>
      <c r="J66" s="61"/>
      <c r="K66" s="61"/>
      <c r="L66" s="61"/>
      <c r="M66" s="61"/>
      <c r="N66" s="61"/>
    </row>
    <row r="67" spans="1:14" ht="14" x14ac:dyDescent="0.2">
      <c r="A67" s="117"/>
      <c r="B67" s="61"/>
      <c r="C67" s="86"/>
      <c r="D67" s="86"/>
      <c r="E67" s="86"/>
      <c r="F67" s="86"/>
      <c r="G67" s="86"/>
      <c r="H67" s="61"/>
      <c r="I67" s="61"/>
      <c r="J67" s="61"/>
      <c r="K67" s="61"/>
      <c r="L67" s="61"/>
      <c r="M67" s="61"/>
      <c r="N67" s="61"/>
    </row>
    <row r="68" spans="1:14" ht="14" x14ac:dyDescent="0.2">
      <c r="A68" s="117"/>
      <c r="B68" s="61"/>
      <c r="C68" s="86"/>
      <c r="D68" s="86"/>
      <c r="E68" s="86"/>
      <c r="F68" s="86"/>
      <c r="G68" s="86"/>
      <c r="H68" s="61"/>
      <c r="I68" s="61"/>
      <c r="J68" s="61"/>
      <c r="K68" s="61"/>
      <c r="L68" s="61"/>
      <c r="M68" s="61"/>
      <c r="N68" s="61"/>
    </row>
  </sheetData>
  <mergeCells count="2">
    <mergeCell ref="B1:G1"/>
    <mergeCell ref="F2:G2"/>
  </mergeCells>
  <pageMargins left="1.45" right="0.7" top="0.5" bottom="0.5" header="0.3" footer="0.3"/>
  <pageSetup scale="92" orientation="portrait" verticalDpi="0" r:id="rId1"/>
  <rowBreaks count="1" manualBreakCount="1">
    <brk id="53" max="6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4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2" sqref="C52"/>
    </sheetView>
  </sheetViews>
  <sheetFormatPr baseColWidth="10" defaultColWidth="9.19921875" defaultRowHeight="13" x14ac:dyDescent="0.15"/>
  <cols>
    <col min="1" max="1" width="35.796875" style="79" customWidth="1"/>
    <col min="2" max="2" width="10.796875" style="79" customWidth="1"/>
    <col min="3" max="16384" width="9.19921875" style="79"/>
  </cols>
  <sheetData>
    <row r="1" spans="1:6" ht="16" x14ac:dyDescent="0.2">
      <c r="A1" s="509" t="s">
        <v>274</v>
      </c>
      <c r="B1" s="509"/>
      <c r="C1" s="509"/>
      <c r="D1" s="509"/>
      <c r="E1" s="509"/>
      <c r="F1" s="509"/>
    </row>
    <row r="2" spans="1:6" ht="14" thickBot="1" x14ac:dyDescent="0.2">
      <c r="D2" s="79" t="s">
        <v>273</v>
      </c>
    </row>
    <row r="3" spans="1:6" ht="76" thickBot="1" x14ac:dyDescent="0.2">
      <c r="A3" s="80" t="s">
        <v>263</v>
      </c>
      <c r="B3" s="81" t="s">
        <v>264</v>
      </c>
      <c r="C3" s="81" t="s">
        <v>265</v>
      </c>
      <c r="D3" s="81" t="s">
        <v>266</v>
      </c>
      <c r="E3" s="81" t="s">
        <v>267</v>
      </c>
      <c r="F3" s="81" t="s">
        <v>268</v>
      </c>
    </row>
    <row r="4" spans="1:6" ht="15" customHeight="1" thickBot="1" x14ac:dyDescent="0.2">
      <c r="A4" s="82" t="s">
        <v>49</v>
      </c>
      <c r="B4" s="83">
        <v>17.739999999999998</v>
      </c>
      <c r="C4" s="83">
        <v>15.53</v>
      </c>
      <c r="D4" s="83">
        <v>87.5</v>
      </c>
      <c r="E4" s="83">
        <v>10.43</v>
      </c>
      <c r="F4" s="83">
        <v>58.8</v>
      </c>
    </row>
    <row r="5" spans="1:6" ht="15" customHeight="1" thickBot="1" x14ac:dyDescent="0.2">
      <c r="A5" s="82" t="s">
        <v>50</v>
      </c>
      <c r="B5" s="83">
        <v>1.46</v>
      </c>
      <c r="C5" s="83">
        <v>1.01</v>
      </c>
      <c r="D5" s="83">
        <v>69.3</v>
      </c>
      <c r="E5" s="83">
        <v>0.94</v>
      </c>
      <c r="F5" s="83">
        <v>64.5</v>
      </c>
    </row>
    <row r="6" spans="1:6" ht="15" customHeight="1" thickBot="1" x14ac:dyDescent="0.2">
      <c r="A6" s="82" t="s">
        <v>51</v>
      </c>
      <c r="B6" s="83">
        <v>20.89</v>
      </c>
      <c r="C6" s="83">
        <v>16.18</v>
      </c>
      <c r="D6" s="83">
        <v>77.400000000000006</v>
      </c>
      <c r="E6" s="83">
        <v>12.2</v>
      </c>
      <c r="F6" s="83">
        <v>58.4</v>
      </c>
    </row>
    <row r="7" spans="1:6" ht="15" customHeight="1" thickBot="1" x14ac:dyDescent="0.2">
      <c r="A7" s="82" t="s">
        <v>52</v>
      </c>
      <c r="B7" s="83">
        <v>66.290000000000006</v>
      </c>
      <c r="C7" s="83">
        <v>54.92</v>
      </c>
      <c r="D7" s="83">
        <v>82.8</v>
      </c>
      <c r="E7" s="83">
        <v>33.21</v>
      </c>
      <c r="F7" s="83">
        <v>50.1</v>
      </c>
    </row>
    <row r="8" spans="1:6" ht="15" customHeight="1" thickBot="1" x14ac:dyDescent="0.2">
      <c r="A8" s="82" t="s">
        <v>53</v>
      </c>
      <c r="B8" s="83">
        <v>14.13</v>
      </c>
      <c r="C8" s="83">
        <v>10.57</v>
      </c>
      <c r="D8" s="83">
        <v>74.8</v>
      </c>
      <c r="E8" s="83">
        <v>5.85</v>
      </c>
      <c r="F8" s="83">
        <v>41.4</v>
      </c>
    </row>
    <row r="9" spans="1:6" ht="15" customHeight="1" thickBot="1" x14ac:dyDescent="0.2">
      <c r="A9" s="82" t="s">
        <v>54</v>
      </c>
      <c r="B9" s="83">
        <v>20.29</v>
      </c>
      <c r="C9" s="83">
        <v>15.96</v>
      </c>
      <c r="D9" s="83">
        <v>78.599999999999994</v>
      </c>
      <c r="E9" s="83">
        <v>10.93</v>
      </c>
      <c r="F9" s="83">
        <v>53.8</v>
      </c>
    </row>
    <row r="10" spans="1:6" ht="15" customHeight="1" thickBot="1" x14ac:dyDescent="0.2">
      <c r="A10" s="82" t="s">
        <v>55</v>
      </c>
      <c r="B10" s="83">
        <v>40.770000000000003</v>
      </c>
      <c r="C10" s="83">
        <v>37.07</v>
      </c>
      <c r="D10" s="83">
        <v>90.9</v>
      </c>
      <c r="E10" s="83">
        <v>26.12</v>
      </c>
      <c r="F10" s="83">
        <v>64.099999999999994</v>
      </c>
    </row>
    <row r="11" spans="1:6" ht="15" customHeight="1" thickBot="1" x14ac:dyDescent="0.2">
      <c r="A11" s="82" t="s">
        <v>42</v>
      </c>
      <c r="B11" s="83">
        <v>4.05</v>
      </c>
      <c r="C11" s="83">
        <v>2.86</v>
      </c>
      <c r="D11" s="83">
        <v>70.5</v>
      </c>
      <c r="E11" s="83">
        <v>2.06</v>
      </c>
      <c r="F11" s="83">
        <v>50.8</v>
      </c>
    </row>
    <row r="12" spans="1:6" ht="15" customHeight="1" thickBot="1" x14ac:dyDescent="0.2">
      <c r="A12" s="82" t="s">
        <v>43</v>
      </c>
      <c r="B12" s="83">
        <v>3.59</v>
      </c>
      <c r="C12" s="83">
        <v>3.22</v>
      </c>
      <c r="D12" s="83">
        <v>89.9</v>
      </c>
      <c r="E12" s="83">
        <v>2.0699999999999998</v>
      </c>
      <c r="F12" s="83">
        <v>57.6</v>
      </c>
    </row>
    <row r="13" spans="1:6" ht="15" customHeight="1" thickBot="1" x14ac:dyDescent="0.2">
      <c r="A13" s="82" t="s">
        <v>223</v>
      </c>
      <c r="B13" s="83">
        <v>4.67</v>
      </c>
      <c r="C13" s="83">
        <v>3.31</v>
      </c>
      <c r="D13" s="83">
        <v>70.900000000000006</v>
      </c>
      <c r="E13" s="83">
        <v>2.4300000000000002</v>
      </c>
      <c r="F13" s="83">
        <v>52</v>
      </c>
    </row>
    <row r="14" spans="1:6" ht="15" customHeight="1" thickBot="1" x14ac:dyDescent="0.2">
      <c r="A14" s="82" t="s">
        <v>56</v>
      </c>
      <c r="B14" s="83">
        <v>1.79</v>
      </c>
      <c r="C14" s="83">
        <v>1.38</v>
      </c>
      <c r="D14" s="83">
        <v>77.099999999999994</v>
      </c>
      <c r="E14" s="83">
        <v>0.73</v>
      </c>
      <c r="F14" s="83">
        <v>41</v>
      </c>
    </row>
    <row r="15" spans="1:6" ht="15" customHeight="1" thickBot="1" x14ac:dyDescent="0.2">
      <c r="A15" s="82" t="s">
        <v>57</v>
      </c>
      <c r="B15" s="83">
        <v>1.91</v>
      </c>
      <c r="C15" s="83">
        <v>1.47</v>
      </c>
      <c r="D15" s="83">
        <v>77</v>
      </c>
      <c r="E15" s="83">
        <v>0.8</v>
      </c>
      <c r="F15" s="83">
        <v>42</v>
      </c>
    </row>
    <row r="16" spans="1:6" ht="15" customHeight="1" thickBot="1" x14ac:dyDescent="0.2">
      <c r="A16" s="82" t="s">
        <v>76</v>
      </c>
      <c r="B16" s="83">
        <v>4.3099999999999996</v>
      </c>
      <c r="C16" s="83">
        <v>2.92</v>
      </c>
      <c r="D16" s="83">
        <v>67.8</v>
      </c>
      <c r="E16" s="83">
        <v>2.62</v>
      </c>
      <c r="F16" s="83">
        <v>60.9</v>
      </c>
    </row>
    <row r="17" spans="1:6" ht="15" customHeight="1" thickBot="1" x14ac:dyDescent="0.2">
      <c r="A17" s="82" t="s">
        <v>77</v>
      </c>
      <c r="B17" s="83">
        <v>0.94</v>
      </c>
      <c r="C17" s="83">
        <v>0.81</v>
      </c>
      <c r="D17" s="83">
        <v>85.8</v>
      </c>
      <c r="E17" s="83">
        <v>0.62</v>
      </c>
      <c r="F17" s="83">
        <v>66.099999999999994</v>
      </c>
    </row>
    <row r="18" spans="1:6" ht="15" customHeight="1" thickBot="1" x14ac:dyDescent="0.2">
      <c r="A18" s="82" t="s">
        <v>58</v>
      </c>
      <c r="B18" s="83">
        <v>28.07</v>
      </c>
      <c r="C18" s="83">
        <v>25.99</v>
      </c>
      <c r="D18" s="83">
        <v>92.6</v>
      </c>
      <c r="E18" s="83">
        <v>19.03</v>
      </c>
      <c r="F18" s="83">
        <v>67.8</v>
      </c>
    </row>
    <row r="19" spans="1:6" ht="15" customHeight="1" thickBot="1" x14ac:dyDescent="0.2">
      <c r="A19" s="82" t="s">
        <v>64</v>
      </c>
      <c r="B19" s="83">
        <v>214.91</v>
      </c>
      <c r="C19" s="83">
        <v>173.98</v>
      </c>
      <c r="D19" s="83">
        <v>81</v>
      </c>
      <c r="E19" s="83">
        <v>88.35</v>
      </c>
      <c r="F19" s="83">
        <v>41.1</v>
      </c>
    </row>
    <row r="20" spans="1:6" ht="15" customHeight="1" thickBot="1" x14ac:dyDescent="0.2">
      <c r="A20" s="82" t="s">
        <v>59</v>
      </c>
      <c r="B20" s="83">
        <v>3.95</v>
      </c>
      <c r="C20" s="83">
        <v>3.28</v>
      </c>
      <c r="D20" s="83">
        <v>83.2</v>
      </c>
      <c r="E20" s="83">
        <v>2.34</v>
      </c>
      <c r="F20" s="83">
        <v>59.4</v>
      </c>
    </row>
    <row r="21" spans="1:6" ht="15" customHeight="1" thickBot="1" x14ac:dyDescent="0.2">
      <c r="A21" s="82" t="s">
        <v>179</v>
      </c>
      <c r="B21" s="83">
        <v>11.26</v>
      </c>
      <c r="C21" s="83">
        <v>9.08</v>
      </c>
      <c r="D21" s="83">
        <v>80.599999999999994</v>
      </c>
      <c r="E21" s="83">
        <v>3.11</v>
      </c>
      <c r="F21" s="83">
        <v>27.6</v>
      </c>
    </row>
    <row r="22" spans="1:6" ht="15" customHeight="1" thickBot="1" x14ac:dyDescent="0.2">
      <c r="A22" s="82" t="s">
        <v>60</v>
      </c>
      <c r="B22" s="83">
        <v>25.71</v>
      </c>
      <c r="C22" s="83">
        <v>20.68</v>
      </c>
      <c r="D22" s="83">
        <v>80.400000000000006</v>
      </c>
      <c r="E22" s="83">
        <v>9.66</v>
      </c>
      <c r="F22" s="83">
        <v>37.6</v>
      </c>
    </row>
    <row r="23" spans="1:6" ht="15" customHeight="1" thickBot="1" x14ac:dyDescent="0.2">
      <c r="A23" s="82" t="s">
        <v>61</v>
      </c>
      <c r="B23" s="83">
        <v>0.57999999999999996</v>
      </c>
      <c r="C23" s="83">
        <v>0.42</v>
      </c>
      <c r="D23" s="83">
        <v>71.3</v>
      </c>
      <c r="E23" s="83">
        <v>0.32</v>
      </c>
      <c r="F23" s="83">
        <v>55.6</v>
      </c>
    </row>
    <row r="24" spans="1:6" ht="15" customHeight="1" thickBot="1" x14ac:dyDescent="0.2">
      <c r="A24" s="82" t="s">
        <v>44</v>
      </c>
      <c r="B24" s="83">
        <v>2.44</v>
      </c>
      <c r="C24" s="83">
        <v>1.88</v>
      </c>
      <c r="D24" s="83">
        <v>77.099999999999994</v>
      </c>
      <c r="E24" s="83">
        <v>1.63</v>
      </c>
      <c r="F24" s="83">
        <v>66.900000000000006</v>
      </c>
    </row>
    <row r="25" spans="1:6" ht="15" customHeight="1" thickBot="1" x14ac:dyDescent="0.2">
      <c r="A25" s="82" t="s">
        <v>269</v>
      </c>
      <c r="B25" s="83">
        <v>7.22</v>
      </c>
      <c r="C25" s="83">
        <v>7.22</v>
      </c>
      <c r="D25" s="83">
        <v>100</v>
      </c>
      <c r="E25" s="83">
        <v>7.22</v>
      </c>
      <c r="F25" s="83">
        <v>100</v>
      </c>
    </row>
    <row r="26" spans="1:6" ht="15" customHeight="1" thickBot="1" x14ac:dyDescent="0.2">
      <c r="A26" s="82" t="s">
        <v>234</v>
      </c>
      <c r="B26" s="83">
        <v>6.09</v>
      </c>
      <c r="C26" s="83">
        <v>4.16</v>
      </c>
      <c r="D26" s="83">
        <v>68.3</v>
      </c>
      <c r="E26" s="83">
        <v>4</v>
      </c>
      <c r="F26" s="83">
        <v>65.7</v>
      </c>
    </row>
    <row r="27" spans="1:6" ht="15" customHeight="1" thickBot="1" x14ac:dyDescent="0.2">
      <c r="A27" s="82" t="s">
        <v>180</v>
      </c>
      <c r="B27" s="83">
        <v>4.16</v>
      </c>
      <c r="C27" s="83">
        <v>2.34</v>
      </c>
      <c r="D27" s="83">
        <v>56.2</v>
      </c>
      <c r="E27" s="83">
        <v>1.82</v>
      </c>
      <c r="F27" s="83">
        <v>43.7</v>
      </c>
    </row>
    <row r="28" spans="1:6" ht="15" customHeight="1" thickBot="1" x14ac:dyDescent="0.2">
      <c r="A28" s="82" t="s">
        <v>235</v>
      </c>
      <c r="B28" s="83">
        <v>0.04</v>
      </c>
      <c r="C28" s="83">
        <v>0.02</v>
      </c>
      <c r="D28" s="83">
        <v>63.3</v>
      </c>
      <c r="E28" s="83">
        <v>0.01</v>
      </c>
      <c r="F28" s="83">
        <v>15</v>
      </c>
    </row>
    <row r="29" spans="1:6" ht="15" customHeight="1" thickBot="1" x14ac:dyDescent="0.2">
      <c r="A29" s="82" t="s">
        <v>270</v>
      </c>
      <c r="B29" s="83">
        <v>0.36</v>
      </c>
      <c r="C29" s="83">
        <v>0.21</v>
      </c>
      <c r="D29" s="83">
        <v>57.4</v>
      </c>
      <c r="E29" s="83">
        <v>0.19</v>
      </c>
      <c r="F29" s="83">
        <v>52.9</v>
      </c>
    </row>
    <row r="30" spans="1:6" ht="15" customHeight="1" thickBot="1" x14ac:dyDescent="0.2">
      <c r="A30" s="82" t="s">
        <v>271</v>
      </c>
      <c r="B30" s="83">
        <v>0.01</v>
      </c>
      <c r="C30" s="83">
        <v>0</v>
      </c>
      <c r="D30" s="83">
        <v>56.6</v>
      </c>
      <c r="E30" s="83">
        <v>0</v>
      </c>
      <c r="F30" s="83">
        <v>46.2</v>
      </c>
    </row>
    <row r="31" spans="1:6" ht="15" customHeight="1" thickBot="1" x14ac:dyDescent="0.2">
      <c r="A31" s="82" t="s">
        <v>236</v>
      </c>
      <c r="B31" s="83">
        <v>0.28999999999999998</v>
      </c>
      <c r="C31" s="83">
        <v>0.23</v>
      </c>
      <c r="D31" s="83">
        <v>79.3</v>
      </c>
      <c r="E31" s="83">
        <v>0.18</v>
      </c>
      <c r="F31" s="83">
        <v>61.3</v>
      </c>
    </row>
    <row r="32" spans="1:6" ht="15" customHeight="1" thickBot="1" x14ac:dyDescent="0.2">
      <c r="A32" s="82" t="s">
        <v>237</v>
      </c>
      <c r="B32" s="83">
        <v>6.77</v>
      </c>
      <c r="C32" s="83">
        <v>4.76</v>
      </c>
      <c r="D32" s="83">
        <v>70.400000000000006</v>
      </c>
      <c r="E32" s="83">
        <v>4.62</v>
      </c>
      <c r="F32" s="83">
        <v>68.2</v>
      </c>
    </row>
    <row r="33" spans="1:6" ht="15" customHeight="1" thickBot="1" x14ac:dyDescent="0.2">
      <c r="A33" s="82" t="s">
        <v>238</v>
      </c>
      <c r="B33" s="83">
        <v>7.48</v>
      </c>
      <c r="C33" s="83">
        <v>5.14</v>
      </c>
      <c r="D33" s="83">
        <v>68.7</v>
      </c>
      <c r="E33" s="83">
        <v>4.82</v>
      </c>
      <c r="F33" s="83">
        <v>64.5</v>
      </c>
    </row>
    <row r="34" spans="1:6" ht="15" customHeight="1" thickBot="1" x14ac:dyDescent="0.2">
      <c r="A34" s="82" t="s">
        <v>272</v>
      </c>
      <c r="B34" s="83">
        <v>2.0299999999999998</v>
      </c>
      <c r="C34" s="83">
        <v>1.86</v>
      </c>
      <c r="D34" s="83">
        <v>91.4</v>
      </c>
      <c r="E34" s="83">
        <v>1.84</v>
      </c>
      <c r="F34" s="83">
        <v>90.7</v>
      </c>
    </row>
    <row r="35" spans="1:6" ht="15" customHeight="1" thickBot="1" x14ac:dyDescent="0.2">
      <c r="A35" s="82" t="s">
        <v>239</v>
      </c>
      <c r="B35" s="83">
        <v>1.07</v>
      </c>
      <c r="C35" s="83">
        <v>0.94</v>
      </c>
      <c r="D35" s="83">
        <v>87.3</v>
      </c>
      <c r="E35" s="83">
        <v>0.94</v>
      </c>
      <c r="F35" s="83">
        <v>87.3</v>
      </c>
    </row>
    <row r="36" spans="1:6" ht="15" customHeight="1" thickBot="1" x14ac:dyDescent="0.2">
      <c r="A36" s="82" t="s">
        <v>240</v>
      </c>
      <c r="B36" s="83">
        <v>0.03</v>
      </c>
      <c r="C36" s="83">
        <v>0.01</v>
      </c>
      <c r="D36" s="83">
        <v>47.9</v>
      </c>
      <c r="E36" s="83">
        <v>0</v>
      </c>
      <c r="F36" s="83">
        <v>0</v>
      </c>
    </row>
    <row r="37" spans="1:6" ht="15" customHeight="1" thickBot="1" x14ac:dyDescent="0.2">
      <c r="A37" s="82" t="s">
        <v>82</v>
      </c>
      <c r="B37" s="83">
        <v>0.36</v>
      </c>
      <c r="C37" s="83">
        <v>0.25</v>
      </c>
      <c r="D37" s="83">
        <v>69.900000000000006</v>
      </c>
      <c r="E37" s="83">
        <v>0.23</v>
      </c>
      <c r="F37" s="83">
        <v>62.5</v>
      </c>
    </row>
    <row r="38" spans="1:6" ht="15" customHeight="1" thickBot="1" x14ac:dyDescent="0.2">
      <c r="A38" s="82" t="s">
        <v>87</v>
      </c>
      <c r="B38" s="83">
        <v>0.12</v>
      </c>
      <c r="C38" s="83">
        <v>0.08</v>
      </c>
      <c r="D38" s="83">
        <v>61.4</v>
      </c>
      <c r="E38" s="83">
        <v>0.04</v>
      </c>
      <c r="F38" s="83">
        <v>29</v>
      </c>
    </row>
    <row r="39" spans="1:6" ht="15" customHeight="1" thickBot="1" x14ac:dyDescent="0.2">
      <c r="A39" s="82" t="s">
        <v>241</v>
      </c>
      <c r="B39" s="83">
        <v>1.08</v>
      </c>
      <c r="C39" s="83">
        <v>0.9</v>
      </c>
      <c r="D39" s="83">
        <v>82.6</v>
      </c>
      <c r="E39" s="83">
        <v>0.75</v>
      </c>
      <c r="F39" s="83">
        <v>69.599999999999994</v>
      </c>
    </row>
    <row r="40" spans="1:6" ht="15" customHeight="1" thickBot="1" x14ac:dyDescent="0.2">
      <c r="A40" s="82" t="s">
        <v>242</v>
      </c>
      <c r="B40" s="83">
        <v>0.05</v>
      </c>
      <c r="C40" s="83">
        <v>0.03</v>
      </c>
      <c r="D40" s="83">
        <v>55.4</v>
      </c>
      <c r="E40" s="83">
        <v>0.03</v>
      </c>
      <c r="F40" s="83">
        <v>49.2</v>
      </c>
    </row>
    <row r="41" spans="1:6" ht="15" customHeight="1" thickBot="1" x14ac:dyDescent="0.2">
      <c r="A41" s="82" t="s">
        <v>243</v>
      </c>
      <c r="B41" s="83">
        <v>1.56</v>
      </c>
      <c r="C41" s="83">
        <v>1.28</v>
      </c>
      <c r="D41" s="83">
        <v>82.3</v>
      </c>
      <c r="E41" s="83">
        <v>0.88</v>
      </c>
      <c r="F41" s="83">
        <v>56.4</v>
      </c>
    </row>
    <row r="42" spans="1:6" ht="15" customHeight="1" thickBot="1" x14ac:dyDescent="0.2">
      <c r="A42" s="82" t="s">
        <v>244</v>
      </c>
      <c r="B42" s="83">
        <v>7.0000000000000007E-2</v>
      </c>
      <c r="C42" s="83">
        <v>0.05</v>
      </c>
      <c r="D42" s="83">
        <v>66.8</v>
      </c>
      <c r="E42" s="83">
        <v>0.03</v>
      </c>
      <c r="F42" s="83">
        <v>35.299999999999997</v>
      </c>
    </row>
    <row r="43" spans="1:6" ht="15" customHeight="1" thickBot="1" x14ac:dyDescent="0.2">
      <c r="A43" s="82" t="s">
        <v>245</v>
      </c>
      <c r="B43" s="83">
        <v>0.54</v>
      </c>
      <c r="C43" s="83">
        <v>0.34</v>
      </c>
      <c r="D43" s="83">
        <v>62.8</v>
      </c>
      <c r="E43" s="83">
        <v>0.21</v>
      </c>
      <c r="F43" s="83">
        <v>38.5</v>
      </c>
    </row>
    <row r="44" spans="1:6" ht="15" customHeight="1" thickBot="1" x14ac:dyDescent="0.2">
      <c r="A44" s="82" t="s">
        <v>52</v>
      </c>
      <c r="B44" s="83">
        <v>20.8</v>
      </c>
      <c r="C44" s="83">
        <v>16.43</v>
      </c>
      <c r="D44" s="83">
        <v>79</v>
      </c>
      <c r="E44" s="83">
        <v>9.66</v>
      </c>
      <c r="F44" s="83">
        <v>46.4</v>
      </c>
    </row>
    <row r="45" spans="1:6" ht="15" customHeight="1" thickBot="1" x14ac:dyDescent="0.2">
      <c r="A45" s="82" t="s">
        <v>55</v>
      </c>
      <c r="B45" s="83">
        <v>8.77</v>
      </c>
      <c r="C45" s="83">
        <v>6.95</v>
      </c>
      <c r="D45" s="83">
        <v>79.2</v>
      </c>
      <c r="E45" s="83">
        <v>4.84</v>
      </c>
      <c r="F45" s="83">
        <v>55.2</v>
      </c>
    </row>
    <row r="46" spans="1:6" ht="15" customHeight="1" thickBot="1" x14ac:dyDescent="0.2">
      <c r="A46" s="82" t="s">
        <v>64</v>
      </c>
      <c r="B46" s="83">
        <v>22.89</v>
      </c>
      <c r="C46" s="83">
        <v>16.96</v>
      </c>
      <c r="D46" s="83">
        <v>74.099999999999994</v>
      </c>
      <c r="E46" s="83">
        <v>0</v>
      </c>
      <c r="F46" s="83">
        <v>0</v>
      </c>
    </row>
    <row r="47" spans="1:6" ht="15" customHeight="1" thickBot="1" x14ac:dyDescent="0.2">
      <c r="A47" s="84"/>
      <c r="B47" s="85">
        <v>581.55999999999995</v>
      </c>
      <c r="C47" s="85">
        <v>472.69</v>
      </c>
      <c r="D47" s="85">
        <v>81.28</v>
      </c>
      <c r="E47" s="85">
        <v>277.8</v>
      </c>
      <c r="F47" s="85">
        <v>47.77</v>
      </c>
    </row>
    <row r="48" spans="1:6" ht="15" customHeight="1" x14ac:dyDescent="0.15">
      <c r="C48" s="79" t="s">
        <v>275</v>
      </c>
    </row>
  </sheetData>
  <mergeCells count="1">
    <mergeCell ref="A1:F1"/>
  </mergeCells>
  <pageMargins left="1.45" right="0.7" top="0.75" bottom="0.75" header="0.3" footer="0.3"/>
  <pageSetup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7"/>
  <sheetViews>
    <sheetView view="pageBreakPreview" zoomScale="60" zoomScaleNormal="100" workbookViewId="0">
      <pane xSplit="2" ySplit="3" topLeftCell="C30" activePane="bottomRight" state="frozen"/>
      <selection pane="topRight" activeCell="C1" sqref="C1"/>
      <selection pane="bottomLeft" activeCell="A4" sqref="A4"/>
      <selection pane="bottomRight" activeCell="J62" sqref="J62"/>
    </sheetView>
  </sheetViews>
  <sheetFormatPr baseColWidth="10" defaultColWidth="9.19921875" defaultRowHeight="14" x14ac:dyDescent="0.2"/>
  <cols>
    <col min="1" max="1" width="5.19921875" style="137" customWidth="1"/>
    <col min="2" max="2" width="28.19921875" style="136" customWidth="1"/>
    <col min="3" max="3" width="19" style="90" customWidth="1"/>
    <col min="4" max="4" width="19.19921875" style="90" customWidth="1"/>
    <col min="5" max="5" width="16.3984375" style="136" customWidth="1"/>
    <col min="6" max="16384" width="9.19921875" style="136"/>
  </cols>
  <sheetData>
    <row r="1" spans="1:5" ht="16" x14ac:dyDescent="0.2">
      <c r="A1" s="401" t="s">
        <v>1057</v>
      </c>
      <c r="B1" s="401"/>
      <c r="C1" s="401"/>
      <c r="D1" s="401"/>
      <c r="E1" s="401"/>
    </row>
    <row r="2" spans="1:5" ht="15" customHeight="1" x14ac:dyDescent="0.2">
      <c r="A2" s="402" t="s">
        <v>380</v>
      </c>
      <c r="B2" s="402"/>
      <c r="C2" s="402"/>
      <c r="D2" s="402"/>
      <c r="E2" s="402"/>
    </row>
    <row r="3" spans="1:5" s="140" customFormat="1" ht="20" customHeight="1" x14ac:dyDescent="0.2">
      <c r="A3" s="170" t="s">
        <v>110</v>
      </c>
      <c r="B3" s="138" t="s">
        <v>322</v>
      </c>
      <c r="C3" s="169" t="s">
        <v>211</v>
      </c>
      <c r="D3" s="169" t="s">
        <v>323</v>
      </c>
      <c r="E3" s="152" t="s">
        <v>324</v>
      </c>
    </row>
    <row r="4" spans="1:5" x14ac:dyDescent="0.2">
      <c r="A4" s="141">
        <v>1</v>
      </c>
      <c r="B4" s="1" t="s">
        <v>387</v>
      </c>
      <c r="C4" s="142">
        <v>111600</v>
      </c>
      <c r="D4" s="142">
        <v>153730</v>
      </c>
      <c r="E4" s="131">
        <f>(D4/C4)*100</f>
        <v>137.75089605734766</v>
      </c>
    </row>
    <row r="5" spans="1:5" x14ac:dyDescent="0.2">
      <c r="A5" s="141">
        <v>2</v>
      </c>
      <c r="B5" s="1" t="s">
        <v>388</v>
      </c>
      <c r="C5" s="142">
        <v>146060</v>
      </c>
      <c r="D5" s="142">
        <v>66993</v>
      </c>
      <c r="E5" s="131">
        <f t="shared" ref="E5:E55" si="0">(D5/C5)*100</f>
        <v>45.866767082021084</v>
      </c>
    </row>
    <row r="6" spans="1:5" x14ac:dyDescent="0.2">
      <c r="A6" s="141">
        <v>3</v>
      </c>
      <c r="B6" s="1" t="s">
        <v>389</v>
      </c>
      <c r="C6" s="142">
        <v>405713</v>
      </c>
      <c r="D6" s="142">
        <v>92541</v>
      </c>
      <c r="E6" s="131">
        <f t="shared" si="0"/>
        <v>22.809473691994096</v>
      </c>
    </row>
    <row r="7" spans="1:5" x14ac:dyDescent="0.2">
      <c r="A7" s="141">
        <v>4</v>
      </c>
      <c r="B7" s="1" t="s">
        <v>390</v>
      </c>
      <c r="C7" s="142">
        <v>219668</v>
      </c>
      <c r="D7" s="142">
        <v>230978</v>
      </c>
      <c r="E7" s="131">
        <f t="shared" si="0"/>
        <v>105.14867891545423</v>
      </c>
    </row>
    <row r="8" spans="1:5" x14ac:dyDescent="0.2">
      <c r="A8" s="141">
        <v>5</v>
      </c>
      <c r="B8" s="1" t="s">
        <v>391</v>
      </c>
      <c r="C8" s="142">
        <v>552529</v>
      </c>
      <c r="D8" s="142">
        <v>271333</v>
      </c>
      <c r="E8" s="131">
        <f t="shared" si="0"/>
        <v>49.107467662330848</v>
      </c>
    </row>
    <row r="9" spans="1:5" x14ac:dyDescent="0.2">
      <c r="A9" s="141">
        <v>6</v>
      </c>
      <c r="B9" s="1" t="s">
        <v>392</v>
      </c>
      <c r="C9" s="142">
        <v>358811</v>
      </c>
      <c r="D9" s="142">
        <v>337971</v>
      </c>
      <c r="E9" s="131">
        <f t="shared" si="0"/>
        <v>94.191928341104372</v>
      </c>
    </row>
    <row r="10" spans="1:5" x14ac:dyDescent="0.2">
      <c r="A10" s="141">
        <v>7</v>
      </c>
      <c r="B10" s="1" t="s">
        <v>393</v>
      </c>
      <c r="C10" s="142">
        <v>784699</v>
      </c>
      <c r="D10" s="142">
        <v>348616</v>
      </c>
      <c r="E10" s="131">
        <f t="shared" si="0"/>
        <v>44.426716486194067</v>
      </c>
    </row>
    <row r="11" spans="1:5" x14ac:dyDescent="0.2">
      <c r="A11" s="141">
        <v>8</v>
      </c>
      <c r="B11" s="1" t="s">
        <v>394</v>
      </c>
      <c r="C11" s="142">
        <v>441181</v>
      </c>
      <c r="D11" s="142">
        <v>180609</v>
      </c>
      <c r="E11" s="131">
        <f t="shared" si="0"/>
        <v>40.937619707104339</v>
      </c>
    </row>
    <row r="12" spans="1:5" x14ac:dyDescent="0.2">
      <c r="A12" s="141">
        <v>9</v>
      </c>
      <c r="B12" s="1" t="s">
        <v>395</v>
      </c>
      <c r="C12" s="142">
        <v>10518458</v>
      </c>
      <c r="D12" s="142">
        <v>9052563</v>
      </c>
      <c r="E12" s="131">
        <f t="shared" si="0"/>
        <v>86.063594112368946</v>
      </c>
    </row>
    <row r="13" spans="1:5" ht="15.75" customHeight="1" x14ac:dyDescent="0.2">
      <c r="A13" s="141">
        <v>10</v>
      </c>
      <c r="B13" s="1" t="s">
        <v>396</v>
      </c>
      <c r="C13" s="142">
        <v>328165</v>
      </c>
      <c r="D13" s="142">
        <v>244721</v>
      </c>
      <c r="E13" s="131">
        <f t="shared" si="0"/>
        <v>74.57254734660917</v>
      </c>
    </row>
    <row r="14" spans="1:5" x14ac:dyDescent="0.2">
      <c r="A14" s="141">
        <v>11</v>
      </c>
      <c r="B14" s="1" t="s">
        <v>397</v>
      </c>
      <c r="C14" s="142">
        <v>704093</v>
      </c>
      <c r="D14" s="142">
        <v>289902</v>
      </c>
      <c r="E14" s="131">
        <f t="shared" si="0"/>
        <v>41.173822208145801</v>
      </c>
    </row>
    <row r="15" spans="1:5" x14ac:dyDescent="0.2">
      <c r="A15" s="141">
        <v>12</v>
      </c>
      <c r="B15" s="1" t="s">
        <v>398</v>
      </c>
      <c r="C15" s="142">
        <v>1057274</v>
      </c>
      <c r="D15" s="142">
        <v>579166</v>
      </c>
      <c r="E15" s="131">
        <f t="shared" si="0"/>
        <v>54.779177393939506</v>
      </c>
    </row>
    <row r="16" spans="1:5" x14ac:dyDescent="0.2">
      <c r="A16" s="141">
        <v>13</v>
      </c>
      <c r="B16" s="1" t="s">
        <v>399</v>
      </c>
      <c r="C16" s="142">
        <v>410644</v>
      </c>
      <c r="D16" s="142">
        <v>229826</v>
      </c>
      <c r="E16" s="131">
        <f t="shared" si="0"/>
        <v>55.967212476013287</v>
      </c>
    </row>
    <row r="17" spans="1:5" x14ac:dyDescent="0.2">
      <c r="A17" s="141">
        <v>14</v>
      </c>
      <c r="B17" s="1" t="s">
        <v>400</v>
      </c>
      <c r="C17" s="142">
        <v>288034</v>
      </c>
      <c r="D17" s="142">
        <v>187036</v>
      </c>
      <c r="E17" s="131">
        <f t="shared" si="0"/>
        <v>64.935389572064409</v>
      </c>
    </row>
    <row r="18" spans="1:5" x14ac:dyDescent="0.2">
      <c r="A18" s="141">
        <v>15</v>
      </c>
      <c r="B18" s="1" t="s">
        <v>401</v>
      </c>
      <c r="C18" s="142">
        <v>695944</v>
      </c>
      <c r="D18" s="142">
        <v>701709</v>
      </c>
      <c r="E18" s="131">
        <f t="shared" si="0"/>
        <v>100.82837124826136</v>
      </c>
    </row>
    <row r="19" spans="1:5" x14ac:dyDescent="0.2">
      <c r="A19" s="141">
        <v>16</v>
      </c>
      <c r="B19" s="1" t="s">
        <v>402</v>
      </c>
      <c r="C19" s="142">
        <v>932581</v>
      </c>
      <c r="D19" s="142">
        <v>876606</v>
      </c>
      <c r="E19" s="131">
        <f t="shared" si="0"/>
        <v>93.997840402066956</v>
      </c>
    </row>
    <row r="20" spans="1:5" x14ac:dyDescent="0.2">
      <c r="A20" s="141">
        <v>17</v>
      </c>
      <c r="B20" s="1" t="s">
        <v>403</v>
      </c>
      <c r="C20" s="142">
        <v>141347</v>
      </c>
      <c r="D20" s="142">
        <v>50853</v>
      </c>
      <c r="E20" s="131">
        <f t="shared" si="0"/>
        <v>35.977417278046225</v>
      </c>
    </row>
    <row r="21" spans="1:5" x14ac:dyDescent="0.2">
      <c r="A21" s="141">
        <v>18</v>
      </c>
      <c r="B21" s="1" t="s">
        <v>404</v>
      </c>
      <c r="C21" s="142">
        <v>478274</v>
      </c>
      <c r="D21" s="142">
        <v>438340</v>
      </c>
      <c r="E21" s="131">
        <f t="shared" si="0"/>
        <v>91.650392871032082</v>
      </c>
    </row>
    <row r="22" spans="1:5" x14ac:dyDescent="0.2">
      <c r="A22" s="141">
        <v>19</v>
      </c>
      <c r="B22" s="1" t="s">
        <v>405</v>
      </c>
      <c r="C22" s="142">
        <v>2600968</v>
      </c>
      <c r="D22" s="142">
        <v>1175856</v>
      </c>
      <c r="E22" s="131">
        <f t="shared" si="0"/>
        <v>45.208399334401655</v>
      </c>
    </row>
    <row r="23" spans="1:5" x14ac:dyDescent="0.2">
      <c r="A23" s="141">
        <v>20</v>
      </c>
      <c r="B23" s="1" t="s">
        <v>406</v>
      </c>
      <c r="C23" s="142">
        <v>293084</v>
      </c>
      <c r="D23" s="142">
        <v>318776</v>
      </c>
      <c r="E23" s="131">
        <f t="shared" si="0"/>
        <v>108.76608753804371</v>
      </c>
    </row>
    <row r="24" spans="1:5" x14ac:dyDescent="0.2">
      <c r="A24" s="141">
        <v>21</v>
      </c>
      <c r="B24" s="1" t="s">
        <v>407</v>
      </c>
      <c r="C24" s="142">
        <v>1008209</v>
      </c>
      <c r="D24" s="142">
        <v>788445</v>
      </c>
      <c r="E24" s="131">
        <f t="shared" si="0"/>
        <v>78.202535387008055</v>
      </c>
    </row>
    <row r="25" spans="1:5" x14ac:dyDescent="0.2">
      <c r="A25" s="141">
        <v>22</v>
      </c>
      <c r="B25" s="1" t="s">
        <v>408</v>
      </c>
      <c r="C25" s="142">
        <v>7284774.1799999997</v>
      </c>
      <c r="D25" s="142">
        <v>5525671.7999999998</v>
      </c>
      <c r="E25" s="131">
        <f t="shared" si="0"/>
        <v>75.852341657624308</v>
      </c>
    </row>
    <row r="26" spans="1:5" x14ac:dyDescent="0.2">
      <c r="A26" s="141">
        <v>23</v>
      </c>
      <c r="B26" s="1" t="s">
        <v>409</v>
      </c>
      <c r="C26" s="142">
        <v>3303299</v>
      </c>
      <c r="D26" s="142">
        <v>2051179</v>
      </c>
      <c r="E26" s="131">
        <f t="shared" si="0"/>
        <v>62.094863347217434</v>
      </c>
    </row>
    <row r="27" spans="1:5" x14ac:dyDescent="0.2">
      <c r="A27" s="141">
        <v>24</v>
      </c>
      <c r="B27" s="1" t="s">
        <v>410</v>
      </c>
      <c r="C27" s="142">
        <v>231913</v>
      </c>
      <c r="D27" s="142">
        <v>174506</v>
      </c>
      <c r="E27" s="131">
        <f t="shared" si="0"/>
        <v>75.246320818582831</v>
      </c>
    </row>
    <row r="28" spans="1:5" x14ac:dyDescent="0.2">
      <c r="A28" s="141">
        <v>25</v>
      </c>
      <c r="B28" s="1" t="s">
        <v>411</v>
      </c>
      <c r="C28" s="142">
        <v>687005</v>
      </c>
      <c r="D28" s="142">
        <v>370067</v>
      </c>
      <c r="E28" s="131">
        <f t="shared" si="0"/>
        <v>53.866711304866776</v>
      </c>
    </row>
    <row r="29" spans="1:5" x14ac:dyDescent="0.2">
      <c r="A29" s="141">
        <v>26</v>
      </c>
      <c r="B29" s="1" t="s">
        <v>412</v>
      </c>
      <c r="C29" s="142">
        <v>478080</v>
      </c>
      <c r="D29" s="142">
        <v>425204</v>
      </c>
      <c r="E29" s="131">
        <f t="shared" si="0"/>
        <v>88.939926372155284</v>
      </c>
    </row>
    <row r="30" spans="1:5" x14ac:dyDescent="0.2">
      <c r="A30" s="141">
        <v>27</v>
      </c>
      <c r="B30" s="1" t="s">
        <v>413</v>
      </c>
      <c r="C30" s="142">
        <v>695377</v>
      </c>
      <c r="D30" s="142">
        <v>895883</v>
      </c>
      <c r="E30" s="131">
        <f t="shared" si="0"/>
        <v>128.83414320577182</v>
      </c>
    </row>
    <row r="31" spans="1:5" x14ac:dyDescent="0.2">
      <c r="A31" s="141">
        <v>28</v>
      </c>
      <c r="B31" s="1" t="s">
        <v>414</v>
      </c>
      <c r="C31" s="142">
        <v>370446</v>
      </c>
      <c r="D31" s="142">
        <v>133345</v>
      </c>
      <c r="E31" s="131">
        <f t="shared" si="0"/>
        <v>35.995799657709895</v>
      </c>
    </row>
    <row r="32" spans="1:5" x14ac:dyDescent="0.2">
      <c r="A32" s="141">
        <v>29</v>
      </c>
      <c r="B32" s="1" t="s">
        <v>415</v>
      </c>
      <c r="C32" s="142">
        <v>522805</v>
      </c>
      <c r="D32" s="142">
        <v>505425</v>
      </c>
      <c r="E32" s="131">
        <f t="shared" si="0"/>
        <v>96.675624754927753</v>
      </c>
    </row>
    <row r="33" spans="1:5" x14ac:dyDescent="0.2">
      <c r="A33" s="141">
        <v>30</v>
      </c>
      <c r="B33" s="1" t="s">
        <v>416</v>
      </c>
      <c r="C33" s="142">
        <v>495834</v>
      </c>
      <c r="D33" s="142">
        <v>282974</v>
      </c>
      <c r="E33" s="131">
        <f t="shared" si="0"/>
        <v>57.070309821432176</v>
      </c>
    </row>
    <row r="34" spans="1:5" x14ac:dyDescent="0.2">
      <c r="A34" s="141">
        <v>31</v>
      </c>
      <c r="B34" s="1" t="s">
        <v>417</v>
      </c>
      <c r="C34" s="142">
        <v>497547</v>
      </c>
      <c r="D34" s="142">
        <v>452105</v>
      </c>
      <c r="E34" s="131">
        <f t="shared" si="0"/>
        <v>90.866792483926133</v>
      </c>
    </row>
    <row r="35" spans="1:5" x14ac:dyDescent="0.2">
      <c r="A35" s="141">
        <v>32</v>
      </c>
      <c r="B35" s="1" t="s">
        <v>418</v>
      </c>
      <c r="C35" s="142">
        <v>440766</v>
      </c>
      <c r="D35" s="142">
        <v>312415</v>
      </c>
      <c r="E35" s="131">
        <f t="shared" si="0"/>
        <v>70.880013431163022</v>
      </c>
    </row>
    <row r="36" spans="1:5" x14ac:dyDescent="0.2">
      <c r="A36" s="141">
        <v>33</v>
      </c>
      <c r="B36" s="1" t="s">
        <v>419</v>
      </c>
      <c r="C36" s="142">
        <v>77929</v>
      </c>
      <c r="D36" s="142">
        <v>19593</v>
      </c>
      <c r="E36" s="131">
        <f t="shared" si="0"/>
        <v>25.142116541980521</v>
      </c>
    </row>
    <row r="37" spans="1:5" x14ac:dyDescent="0.2">
      <c r="A37" s="141">
        <v>34</v>
      </c>
      <c r="B37" s="1" t="s">
        <v>420</v>
      </c>
      <c r="C37" s="142">
        <v>298661</v>
      </c>
      <c r="D37" s="142">
        <v>122291</v>
      </c>
      <c r="E37" s="131">
        <f t="shared" si="0"/>
        <v>40.946424206709281</v>
      </c>
    </row>
    <row r="38" spans="1:5" x14ac:dyDescent="0.2">
      <c r="A38" s="141">
        <v>35</v>
      </c>
      <c r="B38" s="1" t="s">
        <v>421</v>
      </c>
      <c r="C38" s="142">
        <v>421876</v>
      </c>
      <c r="D38" s="142">
        <v>622561</v>
      </c>
      <c r="E38" s="131">
        <f t="shared" si="0"/>
        <v>147.56966502005329</v>
      </c>
    </row>
    <row r="39" spans="1:5" x14ac:dyDescent="0.2">
      <c r="A39" s="141">
        <v>36</v>
      </c>
      <c r="B39" s="1" t="s">
        <v>422</v>
      </c>
      <c r="C39" s="142">
        <v>380572</v>
      </c>
      <c r="D39" s="142">
        <v>508923</v>
      </c>
      <c r="E39" s="131">
        <f t="shared" si="0"/>
        <v>133.72581272400492</v>
      </c>
    </row>
    <row r="40" spans="1:5" x14ac:dyDescent="0.2">
      <c r="A40" s="141">
        <v>37</v>
      </c>
      <c r="B40" s="1" t="s">
        <v>423</v>
      </c>
      <c r="C40" s="142">
        <v>726097</v>
      </c>
      <c r="D40" s="142">
        <v>678563</v>
      </c>
      <c r="E40" s="131">
        <f t="shared" si="0"/>
        <v>93.453491751102121</v>
      </c>
    </row>
    <row r="41" spans="1:5" x14ac:dyDescent="0.2">
      <c r="A41" s="141">
        <v>38</v>
      </c>
      <c r="B41" s="1" t="s">
        <v>424</v>
      </c>
      <c r="C41" s="142">
        <v>1279347</v>
      </c>
      <c r="D41" s="142">
        <v>412072</v>
      </c>
      <c r="E41" s="131">
        <f t="shared" si="0"/>
        <v>32.209556906765719</v>
      </c>
    </row>
    <row r="42" spans="1:5" x14ac:dyDescent="0.2">
      <c r="A42" s="141">
        <v>39</v>
      </c>
      <c r="B42" s="1" t="s">
        <v>425</v>
      </c>
      <c r="C42" s="142">
        <v>1198489</v>
      </c>
      <c r="D42" s="142">
        <v>614470</v>
      </c>
      <c r="E42" s="131">
        <f t="shared" si="0"/>
        <v>51.270391301046573</v>
      </c>
    </row>
    <row r="43" spans="1:5" x14ac:dyDescent="0.2">
      <c r="A43" s="141">
        <v>40</v>
      </c>
      <c r="B43" s="1" t="s">
        <v>426</v>
      </c>
      <c r="C43" s="142">
        <v>1172821</v>
      </c>
      <c r="D43" s="142">
        <v>482964</v>
      </c>
      <c r="E43" s="131">
        <f t="shared" si="0"/>
        <v>41.17968556156481</v>
      </c>
    </row>
    <row r="44" spans="1:5" x14ac:dyDescent="0.2">
      <c r="A44" s="141">
        <v>41</v>
      </c>
      <c r="B44" s="1" t="s">
        <v>427</v>
      </c>
      <c r="C44" s="142">
        <v>502703</v>
      </c>
      <c r="D44" s="142">
        <v>590609</v>
      </c>
      <c r="E44" s="131">
        <f t="shared" si="0"/>
        <v>117.48666707777753</v>
      </c>
    </row>
    <row r="45" spans="1:5" x14ac:dyDescent="0.2">
      <c r="A45" s="141">
        <v>42</v>
      </c>
      <c r="B45" s="1" t="s">
        <v>428</v>
      </c>
      <c r="C45" s="142">
        <v>489215</v>
      </c>
      <c r="D45" s="142">
        <v>285308</v>
      </c>
      <c r="E45" s="131">
        <f t="shared" si="0"/>
        <v>58.319552752879609</v>
      </c>
    </row>
    <row r="46" spans="1:5" x14ac:dyDescent="0.2">
      <c r="A46" s="141">
        <v>43</v>
      </c>
      <c r="B46" s="1" t="s">
        <v>429</v>
      </c>
      <c r="C46" s="142">
        <v>538710</v>
      </c>
      <c r="D46" s="142">
        <v>154473</v>
      </c>
      <c r="E46" s="131">
        <f t="shared" si="0"/>
        <v>28.674611572088882</v>
      </c>
    </row>
    <row r="47" spans="1:5" x14ac:dyDescent="0.2">
      <c r="A47" s="141">
        <v>44</v>
      </c>
      <c r="B47" s="1" t="s">
        <v>430</v>
      </c>
      <c r="C47" s="142">
        <v>312967</v>
      </c>
      <c r="D47" s="142">
        <v>489236</v>
      </c>
      <c r="E47" s="131">
        <f t="shared" si="0"/>
        <v>156.32191253390931</v>
      </c>
    </row>
    <row r="48" spans="1:5" x14ac:dyDescent="0.2">
      <c r="A48" s="141">
        <v>45</v>
      </c>
      <c r="B48" s="1" t="s">
        <v>431</v>
      </c>
      <c r="C48" s="142">
        <v>139757</v>
      </c>
      <c r="D48" s="142">
        <v>114029</v>
      </c>
      <c r="E48" s="131">
        <f t="shared" si="0"/>
        <v>81.590904212311372</v>
      </c>
    </row>
    <row r="49" spans="1:5" x14ac:dyDescent="0.2">
      <c r="A49" s="141">
        <v>46</v>
      </c>
      <c r="B49" s="1" t="s">
        <v>432</v>
      </c>
      <c r="C49" s="142">
        <v>503655</v>
      </c>
      <c r="D49" s="142">
        <v>275031</v>
      </c>
      <c r="E49" s="131">
        <f t="shared" si="0"/>
        <v>54.607022664323793</v>
      </c>
    </row>
    <row r="50" spans="1:5" x14ac:dyDescent="0.2">
      <c r="A50" s="141">
        <v>47</v>
      </c>
      <c r="B50" s="1" t="s">
        <v>433</v>
      </c>
      <c r="C50" s="142">
        <v>426294</v>
      </c>
      <c r="D50" s="142">
        <v>145223</v>
      </c>
      <c r="E50" s="131">
        <f t="shared" si="0"/>
        <v>34.066395492312814</v>
      </c>
    </row>
    <row r="51" spans="1:5" x14ac:dyDescent="0.2">
      <c r="A51" s="141">
        <v>48</v>
      </c>
      <c r="B51" s="1" t="s">
        <v>434</v>
      </c>
      <c r="C51" s="142">
        <v>1058303</v>
      </c>
      <c r="D51" s="142">
        <v>199329</v>
      </c>
      <c r="E51" s="131">
        <f t="shared" si="0"/>
        <v>18.834776051849044</v>
      </c>
    </row>
    <row r="52" spans="1:5" x14ac:dyDescent="0.2">
      <c r="A52" s="141">
        <v>49</v>
      </c>
      <c r="B52" s="1" t="s">
        <v>435</v>
      </c>
      <c r="C52" s="142">
        <v>379009</v>
      </c>
      <c r="D52" s="142">
        <v>132747</v>
      </c>
      <c r="E52" s="131">
        <f t="shared" si="0"/>
        <v>35.024761944967004</v>
      </c>
    </row>
    <row r="53" spans="1:5" x14ac:dyDescent="0.2">
      <c r="A53" s="141">
        <v>50</v>
      </c>
      <c r="B53" s="1" t="s">
        <v>436</v>
      </c>
      <c r="C53" s="142">
        <v>1433975</v>
      </c>
      <c r="D53" s="142">
        <v>1307343</v>
      </c>
      <c r="E53" s="131">
        <f t="shared" si="0"/>
        <v>91.16916264230548</v>
      </c>
    </row>
    <row r="54" spans="1:5" x14ac:dyDescent="0.2">
      <c r="A54" s="141">
        <v>51</v>
      </c>
      <c r="B54" s="1" t="s">
        <v>437</v>
      </c>
      <c r="C54" s="142">
        <v>279463</v>
      </c>
      <c r="D54" s="142">
        <v>69684</v>
      </c>
      <c r="E54" s="131">
        <f t="shared" si="0"/>
        <v>24.934964557025438</v>
      </c>
    </row>
    <row r="55" spans="1:5" x14ac:dyDescent="0.2">
      <c r="A55" s="141">
        <v>52</v>
      </c>
      <c r="B55" s="1" t="s">
        <v>438</v>
      </c>
      <c r="C55" s="142">
        <v>567252</v>
      </c>
      <c r="D55" s="142">
        <v>576970</v>
      </c>
      <c r="E55" s="131">
        <f t="shared" si="0"/>
        <v>101.71317157101254</v>
      </c>
    </row>
    <row r="56" spans="1:5" s="140" customFormat="1" x14ac:dyDescent="0.2">
      <c r="A56" s="170"/>
      <c r="B56" s="138" t="s">
        <v>1</v>
      </c>
      <c r="C56" s="139">
        <f>SUM(C4:C55)</f>
        <v>49672277.18</v>
      </c>
      <c r="D56" s="139">
        <f>SUM(D4:D55)</f>
        <v>35546763.799999997</v>
      </c>
      <c r="E56" s="132">
        <f>(D56/C56)*100</f>
        <v>71.562581419787435</v>
      </c>
    </row>
    <row r="57" spans="1:5" x14ac:dyDescent="0.2">
      <c r="C57" s="90" t="s">
        <v>1071</v>
      </c>
    </row>
  </sheetData>
  <autoFilter ref="A3:E56" xr:uid="{00000000-0009-0000-0000-000003000000}"/>
  <mergeCells count="2">
    <mergeCell ref="A1:E1"/>
    <mergeCell ref="A2:E2"/>
  </mergeCells>
  <conditionalFormatting sqref="E4:E56">
    <cfRule type="cellIs" dxfId="33" priority="1" operator="lessThan">
      <formula>40</formula>
    </cfRule>
  </conditionalFormatting>
  <pageMargins left="1.45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U61"/>
  <sheetViews>
    <sheetView zoomScale="90" zoomScaleNormal="90" workbookViewId="0">
      <pane xSplit="2" ySplit="5" topLeftCell="C34" activePane="bottomRight" state="frozen"/>
      <selection pane="topRight" activeCell="C1" sqref="C1"/>
      <selection pane="bottomLeft" activeCell="A6" sqref="A6"/>
      <selection pane="bottomRight" activeCell="AD77" sqref="AD77"/>
    </sheetView>
  </sheetViews>
  <sheetFormatPr baseColWidth="10" defaultColWidth="4.3984375" defaultRowHeight="14" x14ac:dyDescent="0.2"/>
  <cols>
    <col min="1" max="1" width="4.3984375" style="67"/>
    <col min="2" max="2" width="31" style="36" customWidth="1"/>
    <col min="3" max="4" width="10.796875" style="45" customWidth="1"/>
    <col min="5" max="5" width="10.3984375" style="45" customWidth="1"/>
    <col min="6" max="6" width="10.59765625" style="45" customWidth="1"/>
    <col min="7" max="8" width="9.19921875" style="45" customWidth="1"/>
    <col min="9" max="9" width="9.59765625" style="45" customWidth="1"/>
    <col min="10" max="10" width="10.796875" style="45" customWidth="1"/>
    <col min="11" max="11" width="10" style="45" customWidth="1"/>
    <col min="12" max="12" width="9.796875" style="45" customWidth="1"/>
    <col min="13" max="13" width="9" style="44" customWidth="1"/>
    <col min="14" max="14" width="11.3984375" style="45" customWidth="1"/>
    <col min="15" max="15" width="9.19921875" style="45" customWidth="1"/>
    <col min="16" max="16" width="9.796875" style="44" customWidth="1"/>
    <col min="17" max="17" width="11" style="45" customWidth="1"/>
    <col min="18" max="21" width="4.3984375" style="45"/>
    <col min="22" max="16384" width="4.3984375" style="36"/>
  </cols>
  <sheetData>
    <row r="1" spans="1:13" ht="15" customHeight="1" x14ac:dyDescent="0.2">
      <c r="A1" s="403" t="s">
        <v>1043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15" customHeight="1" x14ac:dyDescent="0.2">
      <c r="B2" s="43" t="s">
        <v>124</v>
      </c>
      <c r="H2" s="45" t="s">
        <v>133</v>
      </c>
      <c r="J2" s="46" t="s">
        <v>115</v>
      </c>
    </row>
    <row r="3" spans="1:13" ht="22" customHeight="1" x14ac:dyDescent="0.2">
      <c r="A3" s="405" t="s">
        <v>110</v>
      </c>
      <c r="B3" s="405" t="s">
        <v>94</v>
      </c>
      <c r="C3" s="406" t="s">
        <v>1045</v>
      </c>
      <c r="D3" s="406"/>
      <c r="E3" s="406"/>
      <c r="F3" s="406"/>
      <c r="G3" s="406"/>
      <c r="H3" s="406"/>
      <c r="I3" s="406"/>
      <c r="J3" s="406"/>
      <c r="K3" s="406"/>
      <c r="L3" s="406"/>
      <c r="M3" s="404" t="s">
        <v>199</v>
      </c>
    </row>
    <row r="4" spans="1:13" ht="25" customHeight="1" x14ac:dyDescent="0.2">
      <c r="A4" s="405"/>
      <c r="B4" s="405"/>
      <c r="C4" s="406" t="s">
        <v>29</v>
      </c>
      <c r="D4" s="406"/>
      <c r="E4" s="406" t="s">
        <v>116</v>
      </c>
      <c r="F4" s="406"/>
      <c r="G4" s="406" t="s">
        <v>112</v>
      </c>
      <c r="H4" s="406"/>
      <c r="I4" s="406" t="s">
        <v>113</v>
      </c>
      <c r="J4" s="406"/>
      <c r="K4" s="406" t="s">
        <v>30</v>
      </c>
      <c r="L4" s="406"/>
      <c r="M4" s="404"/>
    </row>
    <row r="5" spans="1:13" ht="22" customHeight="1" x14ac:dyDescent="0.2">
      <c r="A5" s="405"/>
      <c r="B5" s="405"/>
      <c r="C5" s="269" t="s">
        <v>27</v>
      </c>
      <c r="D5" s="269" t="s">
        <v>15</v>
      </c>
      <c r="E5" s="269" t="s">
        <v>27</v>
      </c>
      <c r="F5" s="269" t="s">
        <v>15</v>
      </c>
      <c r="G5" s="269" t="s">
        <v>27</v>
      </c>
      <c r="H5" s="269" t="s">
        <v>15</v>
      </c>
      <c r="I5" s="269" t="s">
        <v>27</v>
      </c>
      <c r="J5" s="269" t="s">
        <v>15</v>
      </c>
      <c r="K5" s="269" t="s">
        <v>27</v>
      </c>
      <c r="L5" s="269" t="s">
        <v>15</v>
      </c>
      <c r="M5" s="404"/>
    </row>
    <row r="6" spans="1:13" ht="14" customHeight="1" x14ac:dyDescent="0.15">
      <c r="A6" s="141">
        <v>1</v>
      </c>
      <c r="B6" s="1" t="s">
        <v>51</v>
      </c>
      <c r="C6" s="281">
        <v>89703</v>
      </c>
      <c r="D6" s="281">
        <v>164552</v>
      </c>
      <c r="E6" s="281">
        <v>70251</v>
      </c>
      <c r="F6" s="281">
        <v>158443</v>
      </c>
      <c r="G6" s="281">
        <v>4132</v>
      </c>
      <c r="H6" s="281">
        <v>24472</v>
      </c>
      <c r="I6" s="281">
        <v>2837</v>
      </c>
      <c r="J6" s="281">
        <v>163241</v>
      </c>
      <c r="K6" s="281">
        <f>C6+G6+I6</f>
        <v>96672</v>
      </c>
      <c r="L6" s="281">
        <f>D6+H6+J6</f>
        <v>352265</v>
      </c>
      <c r="M6" s="131">
        <f>L6*100/'CD Ratio_3(i)'!F6</f>
        <v>22.958372328860687</v>
      </c>
    </row>
    <row r="7" spans="1:13" ht="14" customHeight="1" x14ac:dyDescent="0.15">
      <c r="A7" s="141">
        <v>2</v>
      </c>
      <c r="B7" s="1" t="s">
        <v>52</v>
      </c>
      <c r="C7" s="224">
        <v>419798</v>
      </c>
      <c r="D7" s="224">
        <v>875259.15</v>
      </c>
      <c r="E7" s="224">
        <v>375421</v>
      </c>
      <c r="F7" s="224">
        <v>792345.3</v>
      </c>
      <c r="G7" s="224">
        <v>63193</v>
      </c>
      <c r="H7" s="224">
        <v>83822.850000000006</v>
      </c>
      <c r="I7" s="224">
        <v>26211</v>
      </c>
      <c r="J7" s="224">
        <v>65847</v>
      </c>
      <c r="K7" s="224">
        <f t="shared" ref="K7:K57" si="0">C7+G7+I7</f>
        <v>509202</v>
      </c>
      <c r="L7" s="224">
        <f t="shared" ref="L7:L57" si="1">D7+H7+J7</f>
        <v>1024929</v>
      </c>
      <c r="M7" s="131">
        <f>L7*100/'CD Ratio_3(i)'!F7</f>
        <v>39.060553387280009</v>
      </c>
    </row>
    <row r="8" spans="1:13" ht="14" customHeight="1" x14ac:dyDescent="0.15">
      <c r="A8" s="141">
        <v>3</v>
      </c>
      <c r="B8" s="1" t="s">
        <v>53</v>
      </c>
      <c r="C8" s="281">
        <v>43867</v>
      </c>
      <c r="D8" s="281">
        <v>78387.460000000006</v>
      </c>
      <c r="E8" s="281">
        <v>37342</v>
      </c>
      <c r="F8" s="281">
        <v>67930.789999999994</v>
      </c>
      <c r="G8" s="281">
        <v>135</v>
      </c>
      <c r="H8" s="281">
        <v>4258.16</v>
      </c>
      <c r="I8" s="281">
        <v>5426</v>
      </c>
      <c r="J8" s="281">
        <v>25177.79</v>
      </c>
      <c r="K8" s="281">
        <f t="shared" si="0"/>
        <v>49428</v>
      </c>
      <c r="L8" s="281">
        <f t="shared" si="1"/>
        <v>107823.41</v>
      </c>
      <c r="M8" s="131">
        <f>L8*100/'CD Ratio_3(i)'!F8</f>
        <v>19.842543666661697</v>
      </c>
    </row>
    <row r="9" spans="1:13" ht="14" customHeight="1" x14ac:dyDescent="0.15">
      <c r="A9" s="141">
        <v>4</v>
      </c>
      <c r="B9" s="1" t="s">
        <v>54</v>
      </c>
      <c r="C9" s="281">
        <v>120641</v>
      </c>
      <c r="D9" s="281">
        <v>219662.1</v>
      </c>
      <c r="E9" s="281">
        <v>81327</v>
      </c>
      <c r="F9" s="281">
        <v>133861.6</v>
      </c>
      <c r="G9" s="281">
        <v>1848</v>
      </c>
      <c r="H9" s="281">
        <v>10149</v>
      </c>
      <c r="I9" s="281">
        <v>4361</v>
      </c>
      <c r="J9" s="281">
        <v>27496</v>
      </c>
      <c r="K9" s="281">
        <f t="shared" si="0"/>
        <v>126850</v>
      </c>
      <c r="L9" s="281">
        <f t="shared" si="1"/>
        <v>257307.1</v>
      </c>
      <c r="M9" s="131">
        <f>L9*100/'CD Ratio_3(i)'!F9</f>
        <v>16.576532246489133</v>
      </c>
    </row>
    <row r="10" spans="1:13" ht="14" customHeight="1" x14ac:dyDescent="0.15">
      <c r="A10" s="141">
        <v>5</v>
      </c>
      <c r="B10" s="1" t="s">
        <v>55</v>
      </c>
      <c r="C10" s="281">
        <v>321077</v>
      </c>
      <c r="D10" s="281">
        <v>514766</v>
      </c>
      <c r="E10" s="281">
        <v>265177</v>
      </c>
      <c r="F10" s="281">
        <v>457711</v>
      </c>
      <c r="G10" s="281">
        <v>493</v>
      </c>
      <c r="H10" s="281">
        <v>25619</v>
      </c>
      <c r="I10" s="281">
        <v>930</v>
      </c>
      <c r="J10" s="281">
        <v>25884</v>
      </c>
      <c r="K10" s="281">
        <f t="shared" si="0"/>
        <v>322500</v>
      </c>
      <c r="L10" s="281">
        <f t="shared" si="1"/>
        <v>566269</v>
      </c>
      <c r="M10" s="131">
        <f>L10*100/'CD Ratio_3(i)'!F10</f>
        <v>39.286477441126031</v>
      </c>
    </row>
    <row r="11" spans="1:13" ht="14" customHeight="1" x14ac:dyDescent="0.15">
      <c r="A11" s="141">
        <v>6</v>
      </c>
      <c r="B11" s="1" t="s">
        <v>56</v>
      </c>
      <c r="C11" s="281">
        <v>95567</v>
      </c>
      <c r="D11" s="281">
        <v>195998</v>
      </c>
      <c r="E11" s="281">
        <v>74026</v>
      </c>
      <c r="F11" s="281">
        <v>154242</v>
      </c>
      <c r="G11" s="281">
        <v>191</v>
      </c>
      <c r="H11" s="281">
        <v>3467</v>
      </c>
      <c r="I11" s="281">
        <v>2496</v>
      </c>
      <c r="J11" s="281">
        <v>23786</v>
      </c>
      <c r="K11" s="281">
        <f t="shared" si="0"/>
        <v>98254</v>
      </c>
      <c r="L11" s="281">
        <f t="shared" si="1"/>
        <v>223251</v>
      </c>
      <c r="M11" s="131">
        <f>L11*100/'CD Ratio_3(i)'!F11</f>
        <v>20.466158796512747</v>
      </c>
    </row>
    <row r="12" spans="1:13" ht="14" customHeight="1" x14ac:dyDescent="0.15">
      <c r="A12" s="141">
        <v>7</v>
      </c>
      <c r="B12" s="1" t="s">
        <v>57</v>
      </c>
      <c r="C12" s="281">
        <v>4739</v>
      </c>
      <c r="D12" s="281">
        <v>11232</v>
      </c>
      <c r="E12" s="281">
        <v>3675</v>
      </c>
      <c r="F12" s="281">
        <v>8182</v>
      </c>
      <c r="G12" s="281">
        <v>1</v>
      </c>
      <c r="H12" s="281">
        <v>10</v>
      </c>
      <c r="I12" s="281">
        <v>218</v>
      </c>
      <c r="J12" s="281">
        <v>2700</v>
      </c>
      <c r="K12" s="281">
        <f t="shared" si="0"/>
        <v>4958</v>
      </c>
      <c r="L12" s="281">
        <f t="shared" si="1"/>
        <v>13942</v>
      </c>
      <c r="M12" s="131">
        <f>L12*100/'CD Ratio_3(i)'!F12</f>
        <v>13.027593231108495</v>
      </c>
    </row>
    <row r="13" spans="1:13" ht="14" customHeight="1" x14ac:dyDescent="0.15">
      <c r="A13" s="141">
        <v>8</v>
      </c>
      <c r="B13" s="1" t="s">
        <v>178</v>
      </c>
      <c r="C13" s="281">
        <v>5392</v>
      </c>
      <c r="D13" s="281">
        <v>9877</v>
      </c>
      <c r="E13" s="281">
        <v>4664</v>
      </c>
      <c r="F13" s="281">
        <v>9105</v>
      </c>
      <c r="G13" s="281">
        <v>95</v>
      </c>
      <c r="H13" s="281">
        <v>4020</v>
      </c>
      <c r="I13" s="281">
        <v>397</v>
      </c>
      <c r="J13" s="281">
        <v>920</v>
      </c>
      <c r="K13" s="281">
        <f t="shared" si="0"/>
        <v>5884</v>
      </c>
      <c r="L13" s="281">
        <f t="shared" si="1"/>
        <v>14817</v>
      </c>
      <c r="M13" s="131">
        <f>L13*100/'CD Ratio_3(i)'!F13</f>
        <v>15.575200773661859</v>
      </c>
    </row>
    <row r="14" spans="1:13" ht="14" customHeight="1" x14ac:dyDescent="0.15">
      <c r="A14" s="141">
        <v>9</v>
      </c>
      <c r="B14" s="1" t="s">
        <v>58</v>
      </c>
      <c r="C14" s="281">
        <v>209452</v>
      </c>
      <c r="D14" s="281">
        <v>362960.28</v>
      </c>
      <c r="E14" s="281">
        <v>182494</v>
      </c>
      <c r="F14" s="281">
        <v>321183.34000000003</v>
      </c>
      <c r="G14" s="281">
        <v>703</v>
      </c>
      <c r="H14" s="281">
        <v>19658.23</v>
      </c>
      <c r="I14" s="281">
        <v>1735</v>
      </c>
      <c r="J14" s="281">
        <v>70874.399999999994</v>
      </c>
      <c r="K14" s="281">
        <f t="shared" si="0"/>
        <v>211890</v>
      </c>
      <c r="L14" s="281">
        <f t="shared" si="1"/>
        <v>453492.91000000003</v>
      </c>
      <c r="M14" s="131">
        <f>L14*100/'CD Ratio_3(i)'!F14</f>
        <v>18.198658214224228</v>
      </c>
    </row>
    <row r="15" spans="1:13" ht="14" customHeight="1" x14ac:dyDescent="0.15">
      <c r="A15" s="141">
        <v>10</v>
      </c>
      <c r="B15" s="1" t="s">
        <v>64</v>
      </c>
      <c r="C15" s="281">
        <v>560658</v>
      </c>
      <c r="D15" s="281">
        <v>1287994</v>
      </c>
      <c r="E15" s="281">
        <v>528058</v>
      </c>
      <c r="F15" s="281">
        <v>1206148</v>
      </c>
      <c r="G15" s="281">
        <v>28</v>
      </c>
      <c r="H15" s="281">
        <v>4356</v>
      </c>
      <c r="I15" s="281">
        <v>1330</v>
      </c>
      <c r="J15" s="281">
        <v>121812</v>
      </c>
      <c r="K15" s="281">
        <f t="shared" si="0"/>
        <v>562016</v>
      </c>
      <c r="L15" s="281">
        <f t="shared" si="1"/>
        <v>1414162</v>
      </c>
      <c r="M15" s="131">
        <f>L15*100/'CD Ratio_3(i)'!F15</f>
        <v>19.883616834573058</v>
      </c>
    </row>
    <row r="16" spans="1:13" ht="14" customHeight="1" x14ac:dyDescent="0.15">
      <c r="A16" s="141">
        <v>11</v>
      </c>
      <c r="B16" s="1" t="s">
        <v>179</v>
      </c>
      <c r="C16" s="281">
        <v>62684</v>
      </c>
      <c r="D16" s="281">
        <v>132267</v>
      </c>
      <c r="E16" s="281">
        <v>49238</v>
      </c>
      <c r="F16" s="281">
        <v>89889</v>
      </c>
      <c r="G16" s="281">
        <v>368</v>
      </c>
      <c r="H16" s="281">
        <v>3867</v>
      </c>
      <c r="I16" s="281">
        <v>110</v>
      </c>
      <c r="J16" s="281">
        <v>2124</v>
      </c>
      <c r="K16" s="281">
        <f t="shared" si="0"/>
        <v>63162</v>
      </c>
      <c r="L16" s="281">
        <f t="shared" si="1"/>
        <v>138258</v>
      </c>
      <c r="M16" s="131">
        <f>L16*100/'CD Ratio_3(i)'!F16</f>
        <v>23.272505693648867</v>
      </c>
    </row>
    <row r="17" spans="1:21" ht="14" customHeight="1" x14ac:dyDescent="0.15">
      <c r="A17" s="141">
        <v>12</v>
      </c>
      <c r="B17" s="1" t="s">
        <v>60</v>
      </c>
      <c r="C17" s="281">
        <v>177259</v>
      </c>
      <c r="D17" s="281">
        <v>429513</v>
      </c>
      <c r="E17" s="281">
        <v>154442</v>
      </c>
      <c r="F17" s="281">
        <v>370306</v>
      </c>
      <c r="G17" s="281">
        <v>888</v>
      </c>
      <c r="H17" s="281">
        <v>11122</v>
      </c>
      <c r="I17" s="281">
        <v>2597</v>
      </c>
      <c r="J17" s="281">
        <v>79812</v>
      </c>
      <c r="K17" s="281">
        <f t="shared" si="0"/>
        <v>180744</v>
      </c>
      <c r="L17" s="281">
        <f t="shared" si="1"/>
        <v>520447</v>
      </c>
      <c r="M17" s="131">
        <f>L17*100/'CD Ratio_3(i)'!F17</f>
        <v>32.127706595091645</v>
      </c>
    </row>
    <row r="18" spans="1:21" s="43" customFormat="1" ht="14" customHeight="1" x14ac:dyDescent="0.15">
      <c r="A18" s="267"/>
      <c r="B18" s="138" t="s">
        <v>215</v>
      </c>
      <c r="C18" s="282">
        <f>SUM(C6:C17)</f>
        <v>2110837</v>
      </c>
      <c r="D18" s="282">
        <f t="shared" ref="D18:J18" si="2">SUM(D6:D17)</f>
        <v>4282467.99</v>
      </c>
      <c r="E18" s="282">
        <f t="shared" si="2"/>
        <v>1826115</v>
      </c>
      <c r="F18" s="282">
        <f t="shared" si="2"/>
        <v>3769347.0300000003</v>
      </c>
      <c r="G18" s="282">
        <f t="shared" si="2"/>
        <v>72075</v>
      </c>
      <c r="H18" s="282">
        <f t="shared" si="2"/>
        <v>194821.24000000002</v>
      </c>
      <c r="I18" s="282">
        <f t="shared" si="2"/>
        <v>48648</v>
      </c>
      <c r="J18" s="282">
        <f t="shared" si="2"/>
        <v>609674.19000000006</v>
      </c>
      <c r="K18" s="282">
        <f t="shared" si="0"/>
        <v>2231560</v>
      </c>
      <c r="L18" s="282">
        <f t="shared" si="1"/>
        <v>5086963.4200000009</v>
      </c>
      <c r="M18" s="132">
        <f>L18*100/'CD Ratio_3(i)'!F18</f>
        <v>24.449002395428302</v>
      </c>
      <c r="N18" s="45"/>
      <c r="O18" s="45"/>
      <c r="P18" s="44"/>
      <c r="Q18" s="46"/>
      <c r="R18" s="46"/>
      <c r="S18" s="46"/>
      <c r="T18" s="46"/>
      <c r="U18" s="46"/>
    </row>
    <row r="19" spans="1:21" ht="14" customHeight="1" x14ac:dyDescent="0.15">
      <c r="A19" s="141">
        <v>13</v>
      </c>
      <c r="B19" s="1" t="s">
        <v>41</v>
      </c>
      <c r="C19" s="281">
        <v>87861</v>
      </c>
      <c r="D19" s="281">
        <v>244696.93</v>
      </c>
      <c r="E19" s="281">
        <v>20134</v>
      </c>
      <c r="F19" s="281">
        <v>73353.570000000007</v>
      </c>
      <c r="G19" s="281">
        <v>56</v>
      </c>
      <c r="H19" s="281">
        <v>4209.17</v>
      </c>
      <c r="I19" s="281">
        <v>270</v>
      </c>
      <c r="J19" s="281">
        <v>53538.93</v>
      </c>
      <c r="K19" s="281">
        <f t="shared" si="0"/>
        <v>88187</v>
      </c>
      <c r="L19" s="281">
        <f t="shared" si="1"/>
        <v>302445.03000000003</v>
      </c>
      <c r="M19" s="131">
        <f>L19*100/'CD Ratio_3(i)'!F19</f>
        <v>25.330979667385922</v>
      </c>
    </row>
    <row r="20" spans="1:21" s="176" customFormat="1" ht="14" customHeight="1" x14ac:dyDescent="0.15">
      <c r="A20" s="141">
        <v>14</v>
      </c>
      <c r="B20" s="1" t="s">
        <v>180</v>
      </c>
      <c r="C20" s="281">
        <v>214801</v>
      </c>
      <c r="D20" s="281">
        <v>80289.37</v>
      </c>
      <c r="E20" s="281">
        <v>59254</v>
      </c>
      <c r="F20" s="281">
        <v>18849.8</v>
      </c>
      <c r="G20" s="281">
        <v>3717</v>
      </c>
      <c r="H20" s="281">
        <v>968.28</v>
      </c>
      <c r="I20" s="281">
        <v>67154</v>
      </c>
      <c r="J20" s="281">
        <v>22242.04</v>
      </c>
      <c r="K20" s="281">
        <f t="shared" si="0"/>
        <v>285672</v>
      </c>
      <c r="L20" s="281">
        <f t="shared" si="1"/>
        <v>103499.69</v>
      </c>
      <c r="M20" s="131">
        <f>L20*100/'CD Ratio_3(i)'!F20</f>
        <v>16.099449224526097</v>
      </c>
      <c r="N20" s="45"/>
      <c r="O20" s="45"/>
      <c r="P20" s="44"/>
      <c r="Q20" s="179"/>
      <c r="R20" s="179"/>
      <c r="S20" s="179"/>
      <c r="T20" s="179"/>
      <c r="U20" s="179"/>
    </row>
    <row r="21" spans="1:21" ht="14" customHeight="1" x14ac:dyDescent="0.15">
      <c r="A21" s="141">
        <v>15</v>
      </c>
      <c r="B21" s="1" t="s">
        <v>181</v>
      </c>
      <c r="C21" s="281">
        <v>24</v>
      </c>
      <c r="D21" s="281">
        <v>56</v>
      </c>
      <c r="E21" s="281">
        <v>6</v>
      </c>
      <c r="F21" s="281">
        <v>8</v>
      </c>
      <c r="G21" s="281">
        <v>0</v>
      </c>
      <c r="H21" s="281">
        <v>0</v>
      </c>
      <c r="I21" s="281">
        <v>18</v>
      </c>
      <c r="J21" s="281">
        <v>48</v>
      </c>
      <c r="K21" s="281">
        <f t="shared" si="0"/>
        <v>42</v>
      </c>
      <c r="L21" s="281">
        <f t="shared" si="1"/>
        <v>104</v>
      </c>
      <c r="M21" s="131">
        <f>L21*100/'CD Ratio_3(i)'!F21</f>
        <v>5.5348589675359232</v>
      </c>
    </row>
    <row r="22" spans="1:21" ht="14" customHeight="1" x14ac:dyDescent="0.15">
      <c r="A22" s="141">
        <v>16</v>
      </c>
      <c r="B22" s="1" t="s">
        <v>45</v>
      </c>
      <c r="C22" s="281">
        <v>3</v>
      </c>
      <c r="D22" s="281">
        <v>6</v>
      </c>
      <c r="E22" s="281">
        <v>0</v>
      </c>
      <c r="F22" s="281">
        <v>0</v>
      </c>
      <c r="G22" s="281">
        <v>0</v>
      </c>
      <c r="H22" s="281">
        <v>0</v>
      </c>
      <c r="I22" s="281">
        <v>7</v>
      </c>
      <c r="J22" s="281">
        <v>240.38</v>
      </c>
      <c r="K22" s="281">
        <f t="shared" si="0"/>
        <v>10</v>
      </c>
      <c r="L22" s="281">
        <f t="shared" si="1"/>
        <v>246.38</v>
      </c>
      <c r="M22" s="131">
        <f>L22*100/'CD Ratio_3(i)'!F22</f>
        <v>1.9888698201638044</v>
      </c>
    </row>
    <row r="23" spans="1:21" ht="12.75" customHeight="1" x14ac:dyDescent="0.15">
      <c r="A23" s="141">
        <v>17</v>
      </c>
      <c r="B23" s="1" t="s">
        <v>182</v>
      </c>
      <c r="C23" s="281">
        <v>74768</v>
      </c>
      <c r="D23" s="281">
        <v>56162</v>
      </c>
      <c r="E23" s="281">
        <v>10734</v>
      </c>
      <c r="F23" s="281">
        <v>37705</v>
      </c>
      <c r="G23" s="281">
        <v>1</v>
      </c>
      <c r="H23" s="281">
        <v>51</v>
      </c>
      <c r="I23" s="281">
        <v>37</v>
      </c>
      <c r="J23" s="281">
        <v>728</v>
      </c>
      <c r="K23" s="281">
        <f t="shared" si="0"/>
        <v>74806</v>
      </c>
      <c r="L23" s="281">
        <f t="shared" si="1"/>
        <v>56941</v>
      </c>
      <c r="M23" s="131">
        <f>L23*100/'CD Ratio_3(i)'!F23</f>
        <v>52.913735584652123</v>
      </c>
    </row>
    <row r="24" spans="1:21" ht="14" customHeight="1" x14ac:dyDescent="0.15">
      <c r="A24" s="141">
        <v>18</v>
      </c>
      <c r="B24" s="1" t="s">
        <v>183</v>
      </c>
      <c r="C24" s="281">
        <v>0</v>
      </c>
      <c r="D24" s="281">
        <v>0</v>
      </c>
      <c r="E24" s="281">
        <v>0</v>
      </c>
      <c r="F24" s="281">
        <v>0</v>
      </c>
      <c r="G24" s="281">
        <v>0</v>
      </c>
      <c r="H24" s="281">
        <v>0</v>
      </c>
      <c r="I24" s="281">
        <v>0</v>
      </c>
      <c r="J24" s="281">
        <v>0</v>
      </c>
      <c r="K24" s="281">
        <f t="shared" si="0"/>
        <v>0</v>
      </c>
      <c r="L24" s="281">
        <f t="shared" si="1"/>
        <v>0</v>
      </c>
      <c r="M24" s="131">
        <f>L24*100/'CD Ratio_3(i)'!F24</f>
        <v>0</v>
      </c>
    </row>
    <row r="25" spans="1:21" ht="14" customHeight="1" x14ac:dyDescent="0.15">
      <c r="A25" s="141">
        <v>19</v>
      </c>
      <c r="B25" s="1" t="s">
        <v>184</v>
      </c>
      <c r="C25" s="281">
        <v>8399</v>
      </c>
      <c r="D25" s="281">
        <v>14682</v>
      </c>
      <c r="E25" s="281">
        <v>8232</v>
      </c>
      <c r="F25" s="281">
        <v>14083</v>
      </c>
      <c r="G25" s="281">
        <v>4</v>
      </c>
      <c r="H25" s="281">
        <v>221</v>
      </c>
      <c r="I25" s="281">
        <v>32</v>
      </c>
      <c r="J25" s="281">
        <v>366</v>
      </c>
      <c r="K25" s="281">
        <f t="shared" si="0"/>
        <v>8435</v>
      </c>
      <c r="L25" s="281">
        <f t="shared" si="1"/>
        <v>15269</v>
      </c>
      <c r="M25" s="131">
        <f>L25*100/'CD Ratio_3(i)'!F25</f>
        <v>32.574561590647264</v>
      </c>
    </row>
    <row r="26" spans="1:21" ht="14" customHeight="1" x14ac:dyDescent="0.15">
      <c r="A26" s="141">
        <v>20</v>
      </c>
      <c r="B26" s="1" t="s">
        <v>65</v>
      </c>
      <c r="C26" s="281">
        <v>272756</v>
      </c>
      <c r="D26" s="281">
        <v>475403.81</v>
      </c>
      <c r="E26" s="281">
        <v>52981</v>
      </c>
      <c r="F26" s="281">
        <v>276041.63</v>
      </c>
      <c r="G26" s="281">
        <v>187</v>
      </c>
      <c r="H26" s="281">
        <v>6006.57</v>
      </c>
      <c r="I26" s="281">
        <v>1346</v>
      </c>
      <c r="J26" s="281">
        <v>88018.45</v>
      </c>
      <c r="K26" s="281">
        <f t="shared" si="0"/>
        <v>274289</v>
      </c>
      <c r="L26" s="281">
        <f t="shared" si="1"/>
        <v>569428.82999999996</v>
      </c>
      <c r="M26" s="131">
        <f>L26*100/'CD Ratio_3(i)'!F26</f>
        <v>23.544640385466202</v>
      </c>
    </row>
    <row r="27" spans="1:21" ht="14" customHeight="1" x14ac:dyDescent="0.15">
      <c r="A27" s="141">
        <v>21</v>
      </c>
      <c r="B27" s="1" t="s">
        <v>66</v>
      </c>
      <c r="C27" s="281">
        <v>164988</v>
      </c>
      <c r="D27" s="281">
        <v>517046</v>
      </c>
      <c r="E27" s="281">
        <v>71984</v>
      </c>
      <c r="F27" s="281">
        <v>377974</v>
      </c>
      <c r="G27" s="281">
        <v>34</v>
      </c>
      <c r="H27" s="281">
        <v>185</v>
      </c>
      <c r="I27" s="281">
        <v>133</v>
      </c>
      <c r="J27" s="281">
        <v>28010</v>
      </c>
      <c r="K27" s="281">
        <f t="shared" si="0"/>
        <v>165155</v>
      </c>
      <c r="L27" s="281">
        <f t="shared" si="1"/>
        <v>545241</v>
      </c>
      <c r="M27" s="131">
        <f>L27*100/'CD Ratio_3(i)'!F27</f>
        <v>24.030955819774331</v>
      </c>
    </row>
    <row r="28" spans="1:21" ht="14" customHeight="1" x14ac:dyDescent="0.15">
      <c r="A28" s="141">
        <v>22</v>
      </c>
      <c r="B28" s="1" t="s">
        <v>75</v>
      </c>
      <c r="C28" s="281">
        <v>25567</v>
      </c>
      <c r="D28" s="281">
        <v>59613</v>
      </c>
      <c r="E28" s="281">
        <v>23155</v>
      </c>
      <c r="F28" s="281">
        <v>51557</v>
      </c>
      <c r="G28" s="281">
        <v>41</v>
      </c>
      <c r="H28" s="281">
        <v>2021</v>
      </c>
      <c r="I28" s="281">
        <v>640</v>
      </c>
      <c r="J28" s="281">
        <v>6617</v>
      </c>
      <c r="K28" s="281">
        <f t="shared" si="0"/>
        <v>26248</v>
      </c>
      <c r="L28" s="281">
        <f t="shared" si="1"/>
        <v>68251</v>
      </c>
      <c r="M28" s="131">
        <f>L28*100/'CD Ratio_3(i)'!F28</f>
        <v>24.171710482045906</v>
      </c>
    </row>
    <row r="29" spans="1:21" x14ac:dyDescent="0.15">
      <c r="A29" s="141">
        <v>23</v>
      </c>
      <c r="B29" s="1" t="s">
        <v>379</v>
      </c>
      <c r="C29" s="281">
        <v>138534</v>
      </c>
      <c r="D29" s="281">
        <v>61191.5</v>
      </c>
      <c r="E29" s="281">
        <v>1962</v>
      </c>
      <c r="F29" s="281">
        <v>18460.490000000002</v>
      </c>
      <c r="G29" s="281">
        <v>1</v>
      </c>
      <c r="H29" s="281">
        <v>119.46</v>
      </c>
      <c r="I29" s="281">
        <v>141</v>
      </c>
      <c r="J29" s="281">
        <v>8630.4</v>
      </c>
      <c r="K29" s="281">
        <f t="shared" si="0"/>
        <v>138676</v>
      </c>
      <c r="L29" s="281">
        <f t="shared" si="1"/>
        <v>69941.36</v>
      </c>
      <c r="M29" s="131">
        <f>L29*100/'CD Ratio_3(i)'!F29</f>
        <v>21.232312315958836</v>
      </c>
    </row>
    <row r="30" spans="1:21" ht="14" customHeight="1" x14ac:dyDescent="0.15">
      <c r="A30" s="141">
        <v>24</v>
      </c>
      <c r="B30" s="1" t="s">
        <v>185</v>
      </c>
      <c r="C30" s="281">
        <v>339233</v>
      </c>
      <c r="D30" s="281">
        <v>221203</v>
      </c>
      <c r="E30" s="281">
        <v>5259</v>
      </c>
      <c r="F30" s="281">
        <v>51045</v>
      </c>
      <c r="G30" s="281">
        <v>3</v>
      </c>
      <c r="H30" s="281">
        <v>234</v>
      </c>
      <c r="I30" s="281">
        <v>10</v>
      </c>
      <c r="J30" s="281">
        <v>1806</v>
      </c>
      <c r="K30" s="281">
        <f t="shared" si="0"/>
        <v>339246</v>
      </c>
      <c r="L30" s="281">
        <f t="shared" si="1"/>
        <v>223243</v>
      </c>
      <c r="M30" s="131">
        <f>L30*100/'CD Ratio_3(i)'!F30</f>
        <v>37.567122310269568</v>
      </c>
    </row>
    <row r="31" spans="1:21" ht="14" customHeight="1" x14ac:dyDescent="0.15">
      <c r="A31" s="141">
        <v>25</v>
      </c>
      <c r="B31" s="1" t="s">
        <v>186</v>
      </c>
      <c r="C31" s="281">
        <v>0</v>
      </c>
      <c r="D31" s="281">
        <v>0</v>
      </c>
      <c r="E31" s="281">
        <v>0</v>
      </c>
      <c r="F31" s="281">
        <v>0</v>
      </c>
      <c r="G31" s="281">
        <v>0</v>
      </c>
      <c r="H31" s="281">
        <v>0</v>
      </c>
      <c r="I31" s="281">
        <v>9</v>
      </c>
      <c r="J31" s="281">
        <v>61</v>
      </c>
      <c r="K31" s="281">
        <f t="shared" si="0"/>
        <v>9</v>
      </c>
      <c r="L31" s="281">
        <f t="shared" si="1"/>
        <v>61</v>
      </c>
      <c r="M31" s="131">
        <f>L31*100/'CD Ratio_3(i)'!F31</f>
        <v>1.5601023017902813</v>
      </c>
    </row>
    <row r="32" spans="1:21" ht="14" customHeight="1" x14ac:dyDescent="0.15">
      <c r="A32" s="141">
        <v>26</v>
      </c>
      <c r="B32" s="1" t="s">
        <v>187</v>
      </c>
      <c r="C32" s="281">
        <v>2360</v>
      </c>
      <c r="D32" s="281">
        <v>12313.9</v>
      </c>
      <c r="E32" s="281">
        <v>691</v>
      </c>
      <c r="F32" s="281">
        <v>4274.83</v>
      </c>
      <c r="G32" s="281">
        <v>37</v>
      </c>
      <c r="H32" s="281">
        <v>716.69</v>
      </c>
      <c r="I32" s="281">
        <v>97</v>
      </c>
      <c r="J32" s="281">
        <v>5225.99</v>
      </c>
      <c r="K32" s="281">
        <f t="shared" si="0"/>
        <v>2494</v>
      </c>
      <c r="L32" s="281">
        <f t="shared" si="1"/>
        <v>18256.580000000002</v>
      </c>
      <c r="M32" s="131">
        <f>L32*100/'CD Ratio_3(i)'!F32</f>
        <v>43.428961553649337</v>
      </c>
    </row>
    <row r="33" spans="1:21" ht="14" customHeight="1" x14ac:dyDescent="0.15">
      <c r="A33" s="141">
        <v>27</v>
      </c>
      <c r="B33" s="1" t="s">
        <v>188</v>
      </c>
      <c r="C33" s="281">
        <v>0</v>
      </c>
      <c r="D33" s="281">
        <v>0</v>
      </c>
      <c r="E33" s="281">
        <v>0</v>
      </c>
      <c r="F33" s="281">
        <v>0</v>
      </c>
      <c r="G33" s="281">
        <v>0</v>
      </c>
      <c r="H33" s="281">
        <v>0</v>
      </c>
      <c r="I33" s="281">
        <v>2</v>
      </c>
      <c r="J33" s="281">
        <v>29.75</v>
      </c>
      <c r="K33" s="281">
        <f t="shared" si="0"/>
        <v>2</v>
      </c>
      <c r="L33" s="281">
        <f t="shared" si="1"/>
        <v>29.75</v>
      </c>
      <c r="M33" s="131">
        <f>L33*100/'CD Ratio_3(i)'!F33</f>
        <v>0.37335535397852487</v>
      </c>
    </row>
    <row r="34" spans="1:21" ht="14" customHeight="1" x14ac:dyDescent="0.15">
      <c r="A34" s="141">
        <v>28</v>
      </c>
      <c r="B34" s="1" t="s">
        <v>67</v>
      </c>
      <c r="C34" s="281">
        <v>117328</v>
      </c>
      <c r="D34" s="281">
        <v>154748.04999999999</v>
      </c>
      <c r="E34" s="281">
        <v>1847</v>
      </c>
      <c r="F34" s="281">
        <v>1414.57</v>
      </c>
      <c r="G34" s="281">
        <v>74</v>
      </c>
      <c r="H34" s="281">
        <v>6140.26</v>
      </c>
      <c r="I34" s="281">
        <v>493</v>
      </c>
      <c r="J34" s="281">
        <v>69126.22</v>
      </c>
      <c r="K34" s="281">
        <f t="shared" si="0"/>
        <v>117895</v>
      </c>
      <c r="L34" s="281">
        <f t="shared" si="1"/>
        <v>230014.53</v>
      </c>
      <c r="M34" s="131">
        <f>L34*100/'CD Ratio_3(i)'!F34</f>
        <v>40.46337880379231</v>
      </c>
    </row>
    <row r="35" spans="1:21" ht="14" customHeight="1" x14ac:dyDescent="0.15">
      <c r="A35" s="141">
        <v>29</v>
      </c>
      <c r="B35" s="1" t="s">
        <v>189</v>
      </c>
      <c r="C35" s="281">
        <v>0</v>
      </c>
      <c r="D35" s="281">
        <v>0</v>
      </c>
      <c r="E35" s="281">
        <v>0</v>
      </c>
      <c r="F35" s="281">
        <v>0</v>
      </c>
      <c r="G35" s="281">
        <v>0</v>
      </c>
      <c r="H35" s="281">
        <v>0</v>
      </c>
      <c r="I35" s="281">
        <v>24</v>
      </c>
      <c r="J35" s="281">
        <v>42</v>
      </c>
      <c r="K35" s="281">
        <f t="shared" si="0"/>
        <v>24</v>
      </c>
      <c r="L35" s="281">
        <f t="shared" si="1"/>
        <v>42</v>
      </c>
      <c r="M35" s="131">
        <f>L35*100/'CD Ratio_3(i)'!F35</f>
        <v>0.68560235063663078</v>
      </c>
    </row>
    <row r="36" spans="1:21" ht="14" customHeight="1" x14ac:dyDescent="0.15">
      <c r="A36" s="141">
        <v>30</v>
      </c>
      <c r="B36" s="1" t="s">
        <v>190</v>
      </c>
      <c r="C36" s="281">
        <v>140192</v>
      </c>
      <c r="D36" s="281">
        <v>49790</v>
      </c>
      <c r="E36" s="281">
        <v>4779</v>
      </c>
      <c r="F36" s="281">
        <v>14986</v>
      </c>
      <c r="G36" s="281">
        <v>0</v>
      </c>
      <c r="H36" s="281">
        <v>0</v>
      </c>
      <c r="I36" s="281">
        <v>38</v>
      </c>
      <c r="J36" s="281">
        <v>2894</v>
      </c>
      <c r="K36" s="281">
        <f t="shared" si="0"/>
        <v>140230</v>
      </c>
      <c r="L36" s="281">
        <f t="shared" si="1"/>
        <v>52684</v>
      </c>
      <c r="M36" s="131">
        <f>L36*100/'CD Ratio_3(i)'!F36</f>
        <v>60.610662432985897</v>
      </c>
    </row>
    <row r="37" spans="1:21" ht="14" customHeight="1" x14ac:dyDescent="0.15">
      <c r="A37" s="141">
        <v>31</v>
      </c>
      <c r="B37" s="1" t="s">
        <v>191</v>
      </c>
      <c r="C37" s="281">
        <v>0</v>
      </c>
      <c r="D37" s="281">
        <v>0</v>
      </c>
      <c r="E37" s="281">
        <v>0</v>
      </c>
      <c r="F37" s="281">
        <v>0</v>
      </c>
      <c r="G37" s="281">
        <v>0</v>
      </c>
      <c r="H37" s="281">
        <v>0</v>
      </c>
      <c r="I37" s="281">
        <v>164</v>
      </c>
      <c r="J37" s="281">
        <v>446</v>
      </c>
      <c r="K37" s="281">
        <f t="shared" si="0"/>
        <v>164</v>
      </c>
      <c r="L37" s="281">
        <f t="shared" si="1"/>
        <v>446</v>
      </c>
      <c r="M37" s="131">
        <f>L37*100/'CD Ratio_3(i)'!F37</f>
        <v>4.5908389089037573</v>
      </c>
    </row>
    <row r="38" spans="1:21" ht="14" customHeight="1" x14ac:dyDescent="0.15">
      <c r="A38" s="141">
        <v>32</v>
      </c>
      <c r="B38" s="1" t="s">
        <v>71</v>
      </c>
      <c r="C38" s="281">
        <v>0</v>
      </c>
      <c r="D38" s="281">
        <v>0</v>
      </c>
      <c r="E38" s="281">
        <v>0</v>
      </c>
      <c r="F38" s="281">
        <v>0</v>
      </c>
      <c r="G38" s="281">
        <v>0</v>
      </c>
      <c r="H38" s="281">
        <v>0</v>
      </c>
      <c r="I38" s="281">
        <v>0</v>
      </c>
      <c r="J38" s="281">
        <v>0</v>
      </c>
      <c r="K38" s="281">
        <f t="shared" si="0"/>
        <v>0</v>
      </c>
      <c r="L38" s="281">
        <f t="shared" si="1"/>
        <v>0</v>
      </c>
      <c r="M38" s="131">
        <f>L38*100/'CD Ratio_3(i)'!F38</f>
        <v>0</v>
      </c>
    </row>
    <row r="39" spans="1:21" ht="14" customHeight="1" x14ac:dyDescent="0.15">
      <c r="A39" s="141">
        <v>33</v>
      </c>
      <c r="B39" s="1" t="s">
        <v>192</v>
      </c>
      <c r="C39" s="281">
        <v>324</v>
      </c>
      <c r="D39" s="281">
        <v>503</v>
      </c>
      <c r="E39" s="281">
        <v>324</v>
      </c>
      <c r="F39" s="281">
        <v>503</v>
      </c>
      <c r="G39" s="281">
        <v>0</v>
      </c>
      <c r="H39" s="281">
        <v>0</v>
      </c>
      <c r="I39" s="281">
        <v>0</v>
      </c>
      <c r="J39" s="281">
        <v>0</v>
      </c>
      <c r="K39" s="281">
        <f t="shared" si="0"/>
        <v>324</v>
      </c>
      <c r="L39" s="281">
        <f t="shared" si="1"/>
        <v>503</v>
      </c>
      <c r="M39" s="131">
        <f>L39*100/'CD Ratio_3(i)'!F39</f>
        <v>7.5299401197604787</v>
      </c>
    </row>
    <row r="40" spans="1:21" ht="14" customHeight="1" x14ac:dyDescent="0.15">
      <c r="A40" s="141">
        <v>34</v>
      </c>
      <c r="B40" s="1" t="s">
        <v>70</v>
      </c>
      <c r="C40" s="281">
        <v>98791</v>
      </c>
      <c r="D40" s="281">
        <v>29317</v>
      </c>
      <c r="E40" s="281">
        <v>1186</v>
      </c>
      <c r="F40" s="281">
        <v>5586</v>
      </c>
      <c r="G40" s="281">
        <v>4</v>
      </c>
      <c r="H40" s="281">
        <v>319</v>
      </c>
      <c r="I40" s="281">
        <v>102</v>
      </c>
      <c r="J40" s="281">
        <v>23265</v>
      </c>
      <c r="K40" s="281">
        <f t="shared" si="0"/>
        <v>98897</v>
      </c>
      <c r="L40" s="281">
        <f t="shared" si="1"/>
        <v>52901</v>
      </c>
      <c r="M40" s="131">
        <f>L40*100/'CD Ratio_3(i)'!F40</f>
        <v>24.333150876482843</v>
      </c>
    </row>
    <row r="41" spans="1:21" s="43" customFormat="1" ht="14" customHeight="1" x14ac:dyDescent="0.15">
      <c r="A41" s="267"/>
      <c r="B41" s="138" t="s">
        <v>212</v>
      </c>
      <c r="C41" s="282">
        <f>SUM(C19:C40)</f>
        <v>1685929</v>
      </c>
      <c r="D41" s="282">
        <f t="shared" ref="D41:J41" si="3">SUM(D19:D40)</f>
        <v>1977021.5599999998</v>
      </c>
      <c r="E41" s="282">
        <f t="shared" si="3"/>
        <v>262528</v>
      </c>
      <c r="F41" s="282">
        <f t="shared" si="3"/>
        <v>945841.8899999999</v>
      </c>
      <c r="G41" s="282">
        <f t="shared" si="3"/>
        <v>4159</v>
      </c>
      <c r="H41" s="282">
        <f t="shared" si="3"/>
        <v>21191.43</v>
      </c>
      <c r="I41" s="282">
        <f t="shared" si="3"/>
        <v>70717</v>
      </c>
      <c r="J41" s="282">
        <f t="shared" si="3"/>
        <v>311335.15999999997</v>
      </c>
      <c r="K41" s="282">
        <f t="shared" si="0"/>
        <v>1760805</v>
      </c>
      <c r="L41" s="282">
        <f t="shared" si="1"/>
        <v>2309548.15</v>
      </c>
      <c r="M41" s="132">
        <f>L41*100/'CD Ratio_3(i)'!F41</f>
        <v>26.023095947809214</v>
      </c>
      <c r="N41" s="45"/>
      <c r="O41" s="45"/>
      <c r="P41" s="44"/>
      <c r="Q41" s="46"/>
      <c r="R41" s="46"/>
      <c r="S41" s="46"/>
      <c r="T41" s="46"/>
      <c r="U41" s="46"/>
    </row>
    <row r="42" spans="1:21" s="43" customFormat="1" ht="14" customHeight="1" x14ac:dyDescent="0.15">
      <c r="A42" s="267"/>
      <c r="B42" s="199" t="s">
        <v>311</v>
      </c>
      <c r="C42" s="282">
        <f>C41+C18</f>
        <v>3796766</v>
      </c>
      <c r="D42" s="282">
        <f t="shared" ref="D42:J42" si="4">D41+D18</f>
        <v>6259489.5499999998</v>
      </c>
      <c r="E42" s="282">
        <f t="shared" si="4"/>
        <v>2088643</v>
      </c>
      <c r="F42" s="282">
        <f t="shared" si="4"/>
        <v>4715188.92</v>
      </c>
      <c r="G42" s="282">
        <f t="shared" si="4"/>
        <v>76234</v>
      </c>
      <c r="H42" s="282">
        <f t="shared" si="4"/>
        <v>216012.67</v>
      </c>
      <c r="I42" s="282">
        <f t="shared" si="4"/>
        <v>119365</v>
      </c>
      <c r="J42" s="282">
        <f t="shared" si="4"/>
        <v>921009.35000000009</v>
      </c>
      <c r="K42" s="282">
        <f t="shared" si="0"/>
        <v>3992365</v>
      </c>
      <c r="L42" s="282">
        <f t="shared" si="1"/>
        <v>7396511.5700000003</v>
      </c>
      <c r="M42" s="132">
        <f>L42*100/'CD Ratio_3(i)'!F42</f>
        <v>24.919669598459404</v>
      </c>
      <c r="N42" s="45"/>
      <c r="O42" s="45"/>
      <c r="P42" s="44"/>
      <c r="Q42" s="46"/>
      <c r="R42" s="46"/>
      <c r="S42" s="46"/>
      <c r="T42" s="46"/>
      <c r="U42" s="46"/>
    </row>
    <row r="43" spans="1:21" ht="14" customHeight="1" x14ac:dyDescent="0.15">
      <c r="A43" s="141">
        <v>35</v>
      </c>
      <c r="B43" s="1" t="s">
        <v>193</v>
      </c>
      <c r="C43" s="281">
        <v>176314</v>
      </c>
      <c r="D43" s="281">
        <v>179503</v>
      </c>
      <c r="E43" s="281">
        <v>168000</v>
      </c>
      <c r="F43" s="281">
        <v>172342</v>
      </c>
      <c r="G43" s="281">
        <v>88</v>
      </c>
      <c r="H43" s="281">
        <v>2867</v>
      </c>
      <c r="I43" s="281">
        <v>340</v>
      </c>
      <c r="J43" s="281">
        <v>418</v>
      </c>
      <c r="K43" s="281">
        <f t="shared" si="0"/>
        <v>176742</v>
      </c>
      <c r="L43" s="281">
        <f t="shared" si="1"/>
        <v>182788</v>
      </c>
      <c r="M43" s="131">
        <f>L43*100/'CD Ratio_3(i)'!F43</f>
        <v>65.833252296931775</v>
      </c>
    </row>
    <row r="44" spans="1:21" ht="14" customHeight="1" x14ac:dyDescent="0.15">
      <c r="A44" s="141">
        <v>36</v>
      </c>
      <c r="B44" s="1" t="s">
        <v>382</v>
      </c>
      <c r="C44" s="281">
        <v>374962</v>
      </c>
      <c r="D44" s="281">
        <v>644908.74</v>
      </c>
      <c r="E44" s="281">
        <v>323109</v>
      </c>
      <c r="F44" s="281">
        <v>593018.03</v>
      </c>
      <c r="G44" s="281">
        <v>98</v>
      </c>
      <c r="H44" s="281">
        <v>5593.16</v>
      </c>
      <c r="I44" s="281">
        <v>134</v>
      </c>
      <c r="J44" s="281">
        <v>1151.6400000000001</v>
      </c>
      <c r="K44" s="281">
        <f t="shared" si="0"/>
        <v>375194</v>
      </c>
      <c r="L44" s="281">
        <f t="shared" si="1"/>
        <v>651653.54</v>
      </c>
      <c r="M44" s="131">
        <f>L44*100/'CD Ratio_3(i)'!F44</f>
        <v>59.771331436712565</v>
      </c>
    </row>
    <row r="45" spans="1:21" s="43" customFormat="1" ht="14" customHeight="1" x14ac:dyDescent="0.15">
      <c r="A45" s="267"/>
      <c r="B45" s="138" t="s">
        <v>216</v>
      </c>
      <c r="C45" s="282">
        <f>SUM(C43:C44)</f>
        <v>551276</v>
      </c>
      <c r="D45" s="282">
        <f t="shared" ref="D45:J45" si="5">SUM(D43:D44)</f>
        <v>824411.74</v>
      </c>
      <c r="E45" s="282">
        <f t="shared" si="5"/>
        <v>491109</v>
      </c>
      <c r="F45" s="282">
        <f t="shared" si="5"/>
        <v>765360.03</v>
      </c>
      <c r="G45" s="282">
        <f t="shared" si="5"/>
        <v>186</v>
      </c>
      <c r="H45" s="282">
        <f t="shared" si="5"/>
        <v>8460.16</v>
      </c>
      <c r="I45" s="282">
        <f t="shared" si="5"/>
        <v>474</v>
      </c>
      <c r="J45" s="282">
        <f t="shared" si="5"/>
        <v>1569.64</v>
      </c>
      <c r="K45" s="282">
        <f t="shared" si="0"/>
        <v>551936</v>
      </c>
      <c r="L45" s="282">
        <f t="shared" si="1"/>
        <v>834441.54</v>
      </c>
      <c r="M45" s="132">
        <f>L45*100/'CD Ratio_3(i)'!F45</f>
        <v>61.001767742346097</v>
      </c>
      <c r="N45" s="45"/>
      <c r="O45" s="45"/>
      <c r="P45" s="44"/>
      <c r="Q45" s="46"/>
      <c r="R45" s="46"/>
      <c r="S45" s="46"/>
      <c r="T45" s="46"/>
      <c r="U45" s="46"/>
    </row>
    <row r="46" spans="1:21" ht="14" customHeight="1" x14ac:dyDescent="0.15">
      <c r="A46" s="141">
        <v>37</v>
      </c>
      <c r="B46" s="1" t="s">
        <v>312</v>
      </c>
      <c r="C46" s="281">
        <v>3885604</v>
      </c>
      <c r="D46" s="281">
        <v>3064857</v>
      </c>
      <c r="E46" s="281">
        <v>3794078</v>
      </c>
      <c r="F46" s="281">
        <v>3028038</v>
      </c>
      <c r="G46" s="281">
        <v>0</v>
      </c>
      <c r="H46" s="281">
        <v>0</v>
      </c>
      <c r="I46" s="281">
        <v>0</v>
      </c>
      <c r="J46" s="281">
        <v>0</v>
      </c>
      <c r="K46" s="281">
        <f t="shared" si="0"/>
        <v>3885604</v>
      </c>
      <c r="L46" s="281">
        <f t="shared" si="1"/>
        <v>3064857</v>
      </c>
      <c r="M46" s="131">
        <f>L46*100/'CD Ratio_3(i)'!F46</f>
        <v>85.247135048053536</v>
      </c>
    </row>
    <row r="47" spans="1:21" s="43" customFormat="1" ht="14" customHeight="1" x14ac:dyDescent="0.15">
      <c r="A47" s="267"/>
      <c r="B47" s="138" t="s">
        <v>214</v>
      </c>
      <c r="C47" s="282">
        <f>C46</f>
        <v>3885604</v>
      </c>
      <c r="D47" s="282">
        <f t="shared" ref="D47:J47" si="6">D46</f>
        <v>3064857</v>
      </c>
      <c r="E47" s="282">
        <f t="shared" si="6"/>
        <v>3794078</v>
      </c>
      <c r="F47" s="282">
        <f t="shared" si="6"/>
        <v>3028038</v>
      </c>
      <c r="G47" s="282">
        <f t="shared" si="6"/>
        <v>0</v>
      </c>
      <c r="H47" s="282">
        <f t="shared" si="6"/>
        <v>0</v>
      </c>
      <c r="I47" s="282">
        <f t="shared" si="6"/>
        <v>0</v>
      </c>
      <c r="J47" s="282">
        <f t="shared" si="6"/>
        <v>0</v>
      </c>
      <c r="K47" s="282">
        <f t="shared" si="0"/>
        <v>3885604</v>
      </c>
      <c r="L47" s="282">
        <f t="shared" si="1"/>
        <v>3064857</v>
      </c>
      <c r="M47" s="132">
        <f>L47*100/'CD Ratio_3(i)'!F47</f>
        <v>85.247135048053536</v>
      </c>
      <c r="N47" s="45"/>
      <c r="O47" s="45"/>
      <c r="P47" s="44"/>
      <c r="Q47" s="46"/>
      <c r="R47" s="46"/>
      <c r="S47" s="46"/>
      <c r="T47" s="46"/>
      <c r="U47" s="46"/>
    </row>
    <row r="48" spans="1:21" s="174" customFormat="1" ht="14" customHeight="1" x14ac:dyDescent="0.15">
      <c r="A48" s="141">
        <v>38</v>
      </c>
      <c r="B48" s="1" t="s">
        <v>304</v>
      </c>
      <c r="C48" s="281">
        <v>35546</v>
      </c>
      <c r="D48" s="281">
        <v>107410.49</v>
      </c>
      <c r="E48" s="281">
        <v>5</v>
      </c>
      <c r="F48" s="281">
        <v>18.100000000000001</v>
      </c>
      <c r="G48" s="281">
        <v>76</v>
      </c>
      <c r="H48" s="281">
        <v>3125.99</v>
      </c>
      <c r="I48" s="281">
        <v>1856</v>
      </c>
      <c r="J48" s="281">
        <v>17051.57</v>
      </c>
      <c r="K48" s="281">
        <f t="shared" si="0"/>
        <v>37478</v>
      </c>
      <c r="L48" s="281">
        <f t="shared" si="1"/>
        <v>127588.05000000002</v>
      </c>
      <c r="M48" s="131">
        <f>L48*100/'CD Ratio_3(i)'!F48</f>
        <v>22.029585914980178</v>
      </c>
      <c r="N48" s="45"/>
      <c r="O48" s="45"/>
      <c r="P48" s="44"/>
      <c r="Q48" s="205"/>
      <c r="R48" s="205"/>
      <c r="S48" s="205"/>
      <c r="T48" s="205"/>
      <c r="U48" s="205"/>
    </row>
    <row r="49" spans="1:21" ht="14" customHeight="1" x14ac:dyDescent="0.15">
      <c r="A49" s="141">
        <v>39</v>
      </c>
      <c r="B49" s="1" t="s">
        <v>305</v>
      </c>
      <c r="C49" s="224">
        <v>27332</v>
      </c>
      <c r="D49" s="224">
        <v>8159</v>
      </c>
      <c r="E49" s="224">
        <v>0</v>
      </c>
      <c r="F49" s="224">
        <v>0</v>
      </c>
      <c r="G49" s="224">
        <v>0</v>
      </c>
      <c r="H49" s="224">
        <v>0</v>
      </c>
      <c r="I49" s="224">
        <v>0</v>
      </c>
      <c r="J49" s="224">
        <v>0</v>
      </c>
      <c r="K49" s="224">
        <f t="shared" si="0"/>
        <v>27332</v>
      </c>
      <c r="L49" s="224">
        <f t="shared" si="1"/>
        <v>8159</v>
      </c>
      <c r="M49" s="131">
        <f>L49*100/'CD Ratio_3(i)'!F49</f>
        <v>14.252773167962268</v>
      </c>
    </row>
    <row r="50" spans="1:21" ht="14" customHeight="1" x14ac:dyDescent="0.15">
      <c r="A50" s="141">
        <v>40</v>
      </c>
      <c r="B50" s="1" t="s">
        <v>383</v>
      </c>
      <c r="C50" s="281">
        <v>0</v>
      </c>
      <c r="D50" s="281">
        <v>0</v>
      </c>
      <c r="E50" s="281">
        <v>0</v>
      </c>
      <c r="F50" s="281">
        <v>0</v>
      </c>
      <c r="G50" s="281">
        <v>1</v>
      </c>
      <c r="H50" s="281">
        <v>35.29</v>
      </c>
      <c r="I50" s="281">
        <v>84257</v>
      </c>
      <c r="J50" s="281">
        <v>17889.41</v>
      </c>
      <c r="K50" s="281">
        <f t="shared" si="0"/>
        <v>84258</v>
      </c>
      <c r="L50" s="281">
        <f t="shared" si="1"/>
        <v>17924.7</v>
      </c>
      <c r="M50" s="131">
        <f>L50*100/'CD Ratio_3(i)'!F50</f>
        <v>42.65745266133414</v>
      </c>
    </row>
    <row r="51" spans="1:21" ht="14" customHeight="1" x14ac:dyDescent="0.15">
      <c r="A51" s="141">
        <v>41</v>
      </c>
      <c r="B51" s="1" t="s">
        <v>306</v>
      </c>
      <c r="C51" s="281">
        <v>149741</v>
      </c>
      <c r="D51" s="281">
        <v>27417.09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J51" s="281">
        <v>0</v>
      </c>
      <c r="K51" s="281">
        <f t="shared" si="0"/>
        <v>149741</v>
      </c>
      <c r="L51" s="281">
        <f t="shared" si="1"/>
        <v>27417.09</v>
      </c>
      <c r="M51" s="131">
        <f>L51*100/'CD Ratio_3(i)'!F51</f>
        <v>49.408735245412849</v>
      </c>
    </row>
    <row r="52" spans="1:21" ht="14" customHeight="1" x14ac:dyDescent="0.15">
      <c r="A52" s="141">
        <v>42</v>
      </c>
      <c r="B52" s="1" t="s">
        <v>307</v>
      </c>
      <c r="C52" s="281">
        <v>73350</v>
      </c>
      <c r="D52" s="281">
        <v>21220</v>
      </c>
      <c r="E52" s="281">
        <v>0</v>
      </c>
      <c r="F52" s="281">
        <v>0</v>
      </c>
      <c r="G52" s="281">
        <v>0</v>
      </c>
      <c r="H52" s="281">
        <v>0</v>
      </c>
      <c r="I52" s="281">
        <v>0</v>
      </c>
      <c r="J52" s="281">
        <v>0</v>
      </c>
      <c r="K52" s="281">
        <f t="shared" si="0"/>
        <v>73350</v>
      </c>
      <c r="L52" s="281">
        <f t="shared" si="1"/>
        <v>21220</v>
      </c>
      <c r="M52" s="131">
        <f>L52*100/'CD Ratio_3(i)'!F52</f>
        <v>23.311252458007889</v>
      </c>
    </row>
    <row r="53" spans="1:21" ht="14" customHeight="1" x14ac:dyDescent="0.15">
      <c r="A53" s="141">
        <v>43</v>
      </c>
      <c r="B53" s="1" t="s">
        <v>308</v>
      </c>
      <c r="C53" s="281">
        <v>45924</v>
      </c>
      <c r="D53" s="281">
        <v>9221.2000000000007</v>
      </c>
      <c r="E53" s="281">
        <v>0</v>
      </c>
      <c r="F53" s="281">
        <v>0</v>
      </c>
      <c r="G53" s="281">
        <v>5</v>
      </c>
      <c r="H53" s="281">
        <v>92.54</v>
      </c>
      <c r="I53" s="281">
        <v>3799</v>
      </c>
      <c r="J53" s="281">
        <v>799.77</v>
      </c>
      <c r="K53" s="281">
        <f t="shared" si="0"/>
        <v>49728</v>
      </c>
      <c r="L53" s="281">
        <f t="shared" si="1"/>
        <v>10113.510000000002</v>
      </c>
      <c r="M53" s="131">
        <f>L53*100/'CD Ratio_3(i)'!F53</f>
        <v>39.099870717517788</v>
      </c>
    </row>
    <row r="54" spans="1:21" ht="14" customHeight="1" x14ac:dyDescent="0.15">
      <c r="A54" s="141">
        <v>44</v>
      </c>
      <c r="B54" s="1" t="s">
        <v>300</v>
      </c>
      <c r="C54" s="281">
        <v>38758</v>
      </c>
      <c r="D54" s="281">
        <v>7648.53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J54" s="281">
        <v>0</v>
      </c>
      <c r="K54" s="281">
        <f t="shared" si="0"/>
        <v>38758</v>
      </c>
      <c r="L54" s="281">
        <f t="shared" si="1"/>
        <v>7648.53</v>
      </c>
      <c r="M54" s="131">
        <f>L54*100/'CD Ratio_3(i)'!F54</f>
        <v>37.254366174132606</v>
      </c>
    </row>
    <row r="55" spans="1:21" ht="14" customHeight="1" x14ac:dyDescent="0.15">
      <c r="A55" s="141">
        <v>45</v>
      </c>
      <c r="B55" s="1" t="s">
        <v>309</v>
      </c>
      <c r="C55" s="281">
        <v>34801</v>
      </c>
      <c r="D55" s="281">
        <v>9106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J55" s="281">
        <v>0</v>
      </c>
      <c r="K55" s="281">
        <f t="shared" si="0"/>
        <v>34801</v>
      </c>
      <c r="L55" s="281">
        <f t="shared" si="1"/>
        <v>9106</v>
      </c>
      <c r="M55" s="131">
        <f>L55*100/'CD Ratio_3(i)'!F55</f>
        <v>29.52754628879017</v>
      </c>
    </row>
    <row r="56" spans="1:21" s="43" customFormat="1" ht="13.5" customHeight="1" x14ac:dyDescent="0.15">
      <c r="A56" s="267"/>
      <c r="B56" s="138" t="s">
        <v>310</v>
      </c>
      <c r="C56" s="282">
        <f>SUM(C48:C55)</f>
        <v>405452</v>
      </c>
      <c r="D56" s="282">
        <f t="shared" ref="D56:J56" si="7">SUM(D48:D55)</f>
        <v>190182.31000000003</v>
      </c>
      <c r="E56" s="282">
        <f t="shared" si="7"/>
        <v>5</v>
      </c>
      <c r="F56" s="282">
        <f t="shared" si="7"/>
        <v>18.100000000000001</v>
      </c>
      <c r="G56" s="282">
        <f t="shared" si="7"/>
        <v>82</v>
      </c>
      <c r="H56" s="282">
        <f t="shared" si="7"/>
        <v>3253.8199999999997</v>
      </c>
      <c r="I56" s="282">
        <f t="shared" si="7"/>
        <v>89912</v>
      </c>
      <c r="J56" s="282">
        <f t="shared" si="7"/>
        <v>35740.749999999993</v>
      </c>
      <c r="K56" s="282">
        <f t="shared" si="0"/>
        <v>495446</v>
      </c>
      <c r="L56" s="282">
        <f t="shared" si="1"/>
        <v>229176.88000000003</v>
      </c>
      <c r="M56" s="132">
        <f>L56*100/'CD Ratio_3(i)'!F56</f>
        <v>25.402379310259597</v>
      </c>
      <c r="N56" s="45"/>
      <c r="O56" s="45"/>
      <c r="P56" s="44"/>
      <c r="Q56" s="46"/>
      <c r="R56" s="46"/>
      <c r="S56" s="46"/>
      <c r="T56" s="46"/>
      <c r="U56" s="46"/>
    </row>
    <row r="57" spans="1:21" s="43" customFormat="1" ht="14" customHeight="1" x14ac:dyDescent="0.15">
      <c r="A57" s="267"/>
      <c r="B57" s="138" t="s">
        <v>0</v>
      </c>
      <c r="C57" s="282">
        <f>C56+C47+C45+C42</f>
        <v>8639098</v>
      </c>
      <c r="D57" s="282">
        <f t="shared" ref="D57:J57" si="8">D56+D47+D45+D42</f>
        <v>10338940.6</v>
      </c>
      <c r="E57" s="282">
        <f t="shared" si="8"/>
        <v>6373835</v>
      </c>
      <c r="F57" s="282">
        <f t="shared" si="8"/>
        <v>8508605.0500000007</v>
      </c>
      <c r="G57" s="282">
        <f t="shared" si="8"/>
        <v>76502</v>
      </c>
      <c r="H57" s="282">
        <f t="shared" si="8"/>
        <v>227726.65000000002</v>
      </c>
      <c r="I57" s="282">
        <f t="shared" si="8"/>
        <v>209751</v>
      </c>
      <c r="J57" s="282">
        <f t="shared" si="8"/>
        <v>958319.74000000011</v>
      </c>
      <c r="K57" s="282">
        <f t="shared" si="0"/>
        <v>8925351</v>
      </c>
      <c r="L57" s="282">
        <f t="shared" si="1"/>
        <v>11524986.99</v>
      </c>
      <c r="M57" s="132">
        <f>L57*100/'CD Ratio_3(i)'!F59</f>
        <v>32.422042598517734</v>
      </c>
      <c r="N57" s="45"/>
      <c r="O57" s="45"/>
      <c r="P57" s="44"/>
      <c r="Q57" s="46"/>
      <c r="R57" s="46"/>
      <c r="S57" s="46"/>
      <c r="T57" s="46"/>
      <c r="U57" s="46"/>
    </row>
    <row r="58" spans="1:21" x14ac:dyDescent="0.2">
      <c r="F58" s="46" t="s">
        <v>1072</v>
      </c>
    </row>
    <row r="59" spans="1:21" x14ac:dyDescent="0.2"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</row>
    <row r="61" spans="1:21" x14ac:dyDescent="0.2">
      <c r="L61" s="44"/>
    </row>
  </sheetData>
  <autoFilter ref="C5:L47" xr:uid="{00000000-0009-0000-0000-000004000000}"/>
  <sortState xmlns:xlrd2="http://schemas.microsoft.com/office/spreadsheetml/2017/richdata2" ref="B6:L33">
    <sortCondition ref="B6:B33"/>
  </sortState>
  <mergeCells count="10">
    <mergeCell ref="A1:M1"/>
    <mergeCell ref="M3:M5"/>
    <mergeCell ref="A3:A5"/>
    <mergeCell ref="B3:B5"/>
    <mergeCell ref="C3:L3"/>
    <mergeCell ref="C4:D4"/>
    <mergeCell ref="G4:H4"/>
    <mergeCell ref="I4:J4"/>
    <mergeCell ref="K4:L4"/>
    <mergeCell ref="E4:F4"/>
  </mergeCells>
  <conditionalFormatting sqref="M6:M57">
    <cfRule type="cellIs" dxfId="32" priority="4" operator="greaterThan">
      <formula>100</formula>
    </cfRule>
  </conditionalFormatting>
  <conditionalFormatting sqref="N1:O1048576">
    <cfRule type="cellIs" dxfId="31" priority="1" operator="greaterThan">
      <formula>100</formula>
    </cfRule>
    <cfRule type="cellIs" dxfId="30" priority="3" operator="greaterThan">
      <formula>100</formula>
    </cfRule>
  </conditionalFormatting>
  <conditionalFormatting sqref="P6:P58">
    <cfRule type="cellIs" dxfId="29" priority="2" operator="greaterThan">
      <formula>5</formula>
    </cfRule>
  </conditionalFormatting>
  <pageMargins left="0.45" right="0.2" top="0.5" bottom="0.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R58"/>
  <sheetViews>
    <sheetView view="pageBreakPreview" zoomScale="60" zoomScaleNormal="90" workbookViewId="0">
      <pane xSplit="3" ySplit="5" topLeftCell="D32" activePane="bottomRight" state="frozen"/>
      <selection pane="topRight" activeCell="D1" sqref="D1"/>
      <selection pane="bottomLeft" activeCell="A6" sqref="A6"/>
      <selection pane="bottomRight" activeCell="AF64" sqref="AF64"/>
    </sheetView>
  </sheetViews>
  <sheetFormatPr baseColWidth="10" defaultColWidth="4.3984375" defaultRowHeight="14" x14ac:dyDescent="0.2"/>
  <cols>
    <col min="1" max="1" width="4.3984375" style="67"/>
    <col min="2" max="2" width="35.59765625" style="36" bestFit="1" customWidth="1"/>
    <col min="3" max="3" width="9.19921875" style="45" customWidth="1"/>
    <col min="4" max="4" width="10.796875" style="45" bestFit="1" customWidth="1"/>
    <col min="5" max="5" width="8.19921875" style="45" bestFit="1" customWidth="1"/>
    <col min="6" max="6" width="10.796875" style="45" bestFit="1" customWidth="1"/>
    <col min="7" max="7" width="8" style="45" bestFit="1" customWidth="1"/>
    <col min="8" max="8" width="9.59765625" style="45" bestFit="1" customWidth="1"/>
    <col min="9" max="9" width="8.19921875" style="45" customWidth="1"/>
    <col min="10" max="10" width="7.19921875" style="45" customWidth="1"/>
    <col min="11" max="11" width="8.19921875" style="45" bestFit="1" customWidth="1"/>
    <col min="12" max="12" width="9.59765625" style="45" bestFit="1" customWidth="1"/>
    <col min="13" max="13" width="9.19921875" style="45" customWidth="1"/>
    <col min="14" max="14" width="10.796875" style="45" bestFit="1" customWidth="1"/>
    <col min="15" max="15" width="9" style="44" customWidth="1"/>
    <col min="16" max="16" width="11.19921875" style="45" hidden="1" customWidth="1"/>
    <col min="17" max="17" width="9.796875" style="45" hidden="1" customWidth="1"/>
    <col min="18" max="18" width="7.19921875" style="45" hidden="1" customWidth="1"/>
    <col min="19" max="16384" width="4.3984375" style="36"/>
  </cols>
  <sheetData>
    <row r="1" spans="1:18" ht="18" x14ac:dyDescent="0.2">
      <c r="A1" s="403" t="s">
        <v>1044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</row>
    <row r="2" spans="1:18" x14ac:dyDescent="0.2">
      <c r="B2" s="43" t="s">
        <v>124</v>
      </c>
      <c r="I2" s="45" t="s">
        <v>133</v>
      </c>
      <c r="L2" s="45" t="s">
        <v>123</v>
      </c>
    </row>
    <row r="3" spans="1:18" ht="25" customHeight="1" x14ac:dyDescent="0.2">
      <c r="A3" s="407" t="s">
        <v>110</v>
      </c>
      <c r="B3" s="407" t="s">
        <v>94</v>
      </c>
      <c r="C3" s="408" t="s">
        <v>1045</v>
      </c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10"/>
      <c r="O3" s="406" t="s">
        <v>217</v>
      </c>
    </row>
    <row r="4" spans="1:18" ht="25" customHeight="1" x14ac:dyDescent="0.2">
      <c r="A4" s="407"/>
      <c r="B4" s="407"/>
      <c r="C4" s="408" t="s">
        <v>117</v>
      </c>
      <c r="D4" s="410"/>
      <c r="E4" s="408" t="s">
        <v>118</v>
      </c>
      <c r="F4" s="410"/>
      <c r="G4" s="408" t="s">
        <v>119</v>
      </c>
      <c r="H4" s="410"/>
      <c r="I4" s="408" t="s">
        <v>120</v>
      </c>
      <c r="J4" s="410"/>
      <c r="K4" s="408" t="s">
        <v>122</v>
      </c>
      <c r="L4" s="410"/>
      <c r="M4" s="408" t="s">
        <v>1</v>
      </c>
      <c r="N4" s="410"/>
      <c r="O4" s="406"/>
    </row>
    <row r="5" spans="1:18" ht="25" customHeight="1" x14ac:dyDescent="0.2">
      <c r="A5" s="407"/>
      <c r="B5" s="407"/>
      <c r="C5" s="269" t="s">
        <v>198</v>
      </c>
      <c r="D5" s="269" t="s">
        <v>197</v>
      </c>
      <c r="E5" s="269" t="s">
        <v>198</v>
      </c>
      <c r="F5" s="269" t="s">
        <v>197</v>
      </c>
      <c r="G5" s="269" t="s">
        <v>198</v>
      </c>
      <c r="H5" s="269" t="s">
        <v>197</v>
      </c>
      <c r="I5" s="269" t="s">
        <v>198</v>
      </c>
      <c r="J5" s="269" t="s">
        <v>197</v>
      </c>
      <c r="K5" s="269" t="s">
        <v>198</v>
      </c>
      <c r="L5" s="269" t="s">
        <v>197</v>
      </c>
      <c r="M5" s="269" t="s">
        <v>198</v>
      </c>
      <c r="N5" s="269" t="s">
        <v>197</v>
      </c>
      <c r="O5" s="406"/>
    </row>
    <row r="6" spans="1:18" ht="13.5" customHeight="1" x14ac:dyDescent="0.15">
      <c r="A6" s="210">
        <v>1</v>
      </c>
      <c r="B6" s="142" t="s">
        <v>51</v>
      </c>
      <c r="C6" s="224">
        <v>73321</v>
      </c>
      <c r="D6" s="224">
        <v>263512</v>
      </c>
      <c r="E6" s="224">
        <v>3298</v>
      </c>
      <c r="F6" s="224">
        <v>108542</v>
      </c>
      <c r="G6" s="224">
        <v>276</v>
      </c>
      <c r="H6" s="224">
        <v>45214</v>
      </c>
      <c r="I6" s="224">
        <v>1309</v>
      </c>
      <c r="J6" s="224">
        <v>13148</v>
      </c>
      <c r="K6" s="224">
        <v>1085</v>
      </c>
      <c r="L6" s="224">
        <v>15943</v>
      </c>
      <c r="M6" s="142">
        <f>C6+E6+G6+I6+K6</f>
        <v>79289</v>
      </c>
      <c r="N6" s="142">
        <f>D6+F6+H6+J6+L6</f>
        <v>446359</v>
      </c>
      <c r="O6" s="131">
        <f>D6*100/'CD Ratio_3(i)'!F6</f>
        <v>17.174021288299258</v>
      </c>
      <c r="P6" s="45">
        <v>151423</v>
      </c>
      <c r="Q6" s="45">
        <f>F6-P6</f>
        <v>-42881</v>
      </c>
      <c r="R6" s="45">
        <f>Q6/100</f>
        <v>-428.81</v>
      </c>
    </row>
    <row r="7" spans="1:18" ht="13.5" customHeight="1" x14ac:dyDescent="0.15">
      <c r="A7" s="210">
        <v>2</v>
      </c>
      <c r="B7" s="142" t="s">
        <v>52</v>
      </c>
      <c r="C7" s="224">
        <v>172813</v>
      </c>
      <c r="D7" s="224">
        <v>278393.82</v>
      </c>
      <c r="E7" s="224">
        <v>1592</v>
      </c>
      <c r="F7" s="224">
        <v>114168.8</v>
      </c>
      <c r="G7" s="224">
        <f>88+41</f>
        <v>129</v>
      </c>
      <c r="H7" s="224">
        <f>18524.62+5466</f>
        <v>23990.62</v>
      </c>
      <c r="I7" s="224">
        <v>0</v>
      </c>
      <c r="J7" s="224">
        <v>0</v>
      </c>
      <c r="K7" s="224">
        <v>161</v>
      </c>
      <c r="L7" s="224">
        <v>28.39</v>
      </c>
      <c r="M7" s="142">
        <f t="shared" ref="M7:M57" si="0">C7+E7+G7+I7+K7</f>
        <v>174695</v>
      </c>
      <c r="N7" s="142">
        <f t="shared" ref="N7:N57" si="1">D7+F7+H7+J7+L7</f>
        <v>416581.63</v>
      </c>
      <c r="O7" s="131">
        <f>D7*100/'CD Ratio_3(i)'!F7</f>
        <v>10.609726789659403</v>
      </c>
      <c r="P7" s="45">
        <v>142540</v>
      </c>
      <c r="Q7" s="45">
        <f t="shared" ref="Q7:Q57" si="2">F7-P7</f>
        <v>-28371.199999999997</v>
      </c>
      <c r="R7" s="45">
        <f t="shared" ref="R7:R57" si="3">Q7/100</f>
        <v>-283.71199999999999</v>
      </c>
    </row>
    <row r="8" spans="1:18" ht="13.5" customHeight="1" x14ac:dyDescent="0.15">
      <c r="A8" s="210">
        <v>3</v>
      </c>
      <c r="B8" s="142" t="s">
        <v>53</v>
      </c>
      <c r="C8" s="224">
        <v>22817</v>
      </c>
      <c r="D8" s="224">
        <v>66454.38</v>
      </c>
      <c r="E8" s="224">
        <v>1077</v>
      </c>
      <c r="F8" s="224">
        <v>48810.84</v>
      </c>
      <c r="G8" s="224">
        <v>37</v>
      </c>
      <c r="H8" s="224">
        <v>5363.84</v>
      </c>
      <c r="I8" s="224">
        <v>3</v>
      </c>
      <c r="J8" s="224">
        <v>9.51</v>
      </c>
      <c r="K8" s="224">
        <v>0</v>
      </c>
      <c r="L8" s="224">
        <v>0</v>
      </c>
      <c r="M8" s="142">
        <f t="shared" si="0"/>
        <v>23934</v>
      </c>
      <c r="N8" s="142">
        <f t="shared" si="1"/>
        <v>120638.56999999999</v>
      </c>
      <c r="O8" s="131">
        <f>D8*100/'CD Ratio_3(i)'!F8</f>
        <v>12.229477225687166</v>
      </c>
      <c r="P8" s="45">
        <v>28044</v>
      </c>
      <c r="Q8" s="45">
        <f t="shared" si="2"/>
        <v>20766.839999999997</v>
      </c>
      <c r="R8" s="45">
        <f t="shared" si="3"/>
        <v>207.66839999999996</v>
      </c>
    </row>
    <row r="9" spans="1:18" ht="13.5" customHeight="1" x14ac:dyDescent="0.15">
      <c r="A9" s="210">
        <v>4</v>
      </c>
      <c r="B9" s="142" t="s">
        <v>54</v>
      </c>
      <c r="C9" s="224">
        <v>69409</v>
      </c>
      <c r="D9" s="224">
        <v>149462</v>
      </c>
      <c r="E9" s="224">
        <v>4469</v>
      </c>
      <c r="F9" s="224">
        <v>73055</v>
      </c>
      <c r="G9" s="224">
        <v>192</v>
      </c>
      <c r="H9" s="224">
        <v>12876</v>
      </c>
      <c r="I9" s="224">
        <v>0</v>
      </c>
      <c r="J9" s="224">
        <v>0</v>
      </c>
      <c r="K9" s="224">
        <v>1636</v>
      </c>
      <c r="L9" s="224">
        <v>3475</v>
      </c>
      <c r="M9" s="142">
        <f t="shared" si="0"/>
        <v>75706</v>
      </c>
      <c r="N9" s="142">
        <f t="shared" si="1"/>
        <v>238868</v>
      </c>
      <c r="O9" s="131">
        <f>D9*100/'CD Ratio_3(i)'!F9</f>
        <v>9.6288118851938354</v>
      </c>
      <c r="P9" s="45">
        <v>62300</v>
      </c>
      <c r="Q9" s="45">
        <f t="shared" si="2"/>
        <v>10755</v>
      </c>
      <c r="R9" s="45">
        <f t="shared" si="3"/>
        <v>107.55</v>
      </c>
    </row>
    <row r="10" spans="1:18" ht="13.5" customHeight="1" x14ac:dyDescent="0.15">
      <c r="A10" s="210">
        <v>5</v>
      </c>
      <c r="B10" s="142" t="s">
        <v>55</v>
      </c>
      <c r="C10" s="224">
        <v>148414</v>
      </c>
      <c r="D10" s="224">
        <v>166203</v>
      </c>
      <c r="E10" s="224">
        <v>5241</v>
      </c>
      <c r="F10" s="224">
        <v>134969</v>
      </c>
      <c r="G10" s="224">
        <v>140</v>
      </c>
      <c r="H10" s="224">
        <v>18414</v>
      </c>
      <c r="I10" s="224">
        <v>3347</v>
      </c>
      <c r="J10" s="224">
        <v>7827</v>
      </c>
      <c r="K10" s="224">
        <v>7831</v>
      </c>
      <c r="L10" s="224">
        <v>11904</v>
      </c>
      <c r="M10" s="142">
        <f t="shared" si="0"/>
        <v>164973</v>
      </c>
      <c r="N10" s="142">
        <f t="shared" si="1"/>
        <v>339317</v>
      </c>
      <c r="O10" s="131">
        <f>D10*100/'CD Ratio_3(i)'!F10</f>
        <v>11.530792627086189</v>
      </c>
      <c r="P10" s="45">
        <v>137602</v>
      </c>
      <c r="Q10" s="45">
        <f t="shared" si="2"/>
        <v>-2633</v>
      </c>
      <c r="R10" s="45">
        <f t="shared" si="3"/>
        <v>-26.33</v>
      </c>
    </row>
    <row r="11" spans="1:18" ht="13.5" customHeight="1" x14ac:dyDescent="0.15">
      <c r="A11" s="210">
        <v>6</v>
      </c>
      <c r="B11" s="142" t="s">
        <v>56</v>
      </c>
      <c r="C11" s="224">
        <v>41917</v>
      </c>
      <c r="D11" s="224">
        <v>87132</v>
      </c>
      <c r="E11" s="224">
        <v>1389</v>
      </c>
      <c r="F11" s="224">
        <v>48550</v>
      </c>
      <c r="G11" s="224">
        <v>287</v>
      </c>
      <c r="H11" s="224">
        <v>16052</v>
      </c>
      <c r="I11" s="224">
        <v>615</v>
      </c>
      <c r="J11" s="224">
        <v>2468</v>
      </c>
      <c r="K11" s="224">
        <v>9050</v>
      </c>
      <c r="L11" s="224">
        <v>26165</v>
      </c>
      <c r="M11" s="142">
        <f t="shared" si="0"/>
        <v>53258</v>
      </c>
      <c r="N11" s="142">
        <f t="shared" si="1"/>
        <v>180367</v>
      </c>
      <c r="O11" s="131">
        <f>D11*100/'CD Ratio_3(i)'!F11</f>
        <v>7.9876791067352384</v>
      </c>
      <c r="P11" s="45">
        <v>63724</v>
      </c>
      <c r="Q11" s="45">
        <f t="shared" si="2"/>
        <v>-15174</v>
      </c>
      <c r="R11" s="45">
        <f t="shared" si="3"/>
        <v>-151.74</v>
      </c>
    </row>
    <row r="12" spans="1:18" ht="13.5" customHeight="1" x14ac:dyDescent="0.15">
      <c r="A12" s="210">
        <v>7</v>
      </c>
      <c r="B12" s="142" t="s">
        <v>57</v>
      </c>
      <c r="C12" s="224">
        <v>9561</v>
      </c>
      <c r="D12" s="224">
        <v>20103</v>
      </c>
      <c r="E12" s="224">
        <v>43</v>
      </c>
      <c r="F12" s="224">
        <v>3868</v>
      </c>
      <c r="G12" s="224">
        <v>10</v>
      </c>
      <c r="H12" s="224">
        <v>4285</v>
      </c>
      <c r="I12" s="224">
        <v>169</v>
      </c>
      <c r="J12" s="224">
        <v>832</v>
      </c>
      <c r="K12" s="224">
        <v>0</v>
      </c>
      <c r="L12" s="224">
        <v>0</v>
      </c>
      <c r="M12" s="142">
        <f t="shared" si="0"/>
        <v>9783</v>
      </c>
      <c r="N12" s="142">
        <f t="shared" si="1"/>
        <v>29088</v>
      </c>
      <c r="O12" s="131">
        <f>D12*100/'CD Ratio_3(i)'!F12</f>
        <v>18.784514899223502</v>
      </c>
      <c r="P12" s="45">
        <v>10594</v>
      </c>
      <c r="Q12" s="45">
        <f t="shared" si="2"/>
        <v>-6726</v>
      </c>
      <c r="R12" s="45">
        <f t="shared" si="3"/>
        <v>-67.260000000000005</v>
      </c>
    </row>
    <row r="13" spans="1:18" ht="13.5" customHeight="1" x14ac:dyDescent="0.15">
      <c r="A13" s="210">
        <v>8</v>
      </c>
      <c r="B13" s="142" t="s">
        <v>178</v>
      </c>
      <c r="C13" s="224">
        <v>9210</v>
      </c>
      <c r="D13" s="224">
        <v>18153</v>
      </c>
      <c r="E13" s="224">
        <v>494</v>
      </c>
      <c r="F13" s="224">
        <v>14188</v>
      </c>
      <c r="G13" s="224">
        <f>31+5</f>
        <v>36</v>
      </c>
      <c r="H13" s="224">
        <f>7392+87</f>
        <v>7479</v>
      </c>
      <c r="I13" s="224">
        <v>43</v>
      </c>
      <c r="J13" s="224">
        <v>22</v>
      </c>
      <c r="K13" s="224">
        <v>0</v>
      </c>
      <c r="L13" s="224">
        <v>0</v>
      </c>
      <c r="M13" s="142">
        <f t="shared" si="0"/>
        <v>9783</v>
      </c>
      <c r="N13" s="142">
        <f t="shared" si="1"/>
        <v>39842</v>
      </c>
      <c r="O13" s="131">
        <f>D13*100/'CD Ratio_3(i)'!F13</f>
        <v>19.081907244670564</v>
      </c>
      <c r="P13" s="45">
        <v>12750</v>
      </c>
      <c r="Q13" s="45">
        <f t="shared" si="2"/>
        <v>1438</v>
      </c>
      <c r="R13" s="45">
        <f t="shared" si="3"/>
        <v>14.38</v>
      </c>
    </row>
    <row r="14" spans="1:18" ht="13.5" customHeight="1" x14ac:dyDescent="0.15">
      <c r="A14" s="210">
        <v>9</v>
      </c>
      <c r="B14" s="142" t="s">
        <v>58</v>
      </c>
      <c r="C14" s="224">
        <v>88386</v>
      </c>
      <c r="D14" s="224">
        <v>208221.49</v>
      </c>
      <c r="E14" s="224">
        <v>9309</v>
      </c>
      <c r="F14" s="224">
        <v>156119.16</v>
      </c>
      <c r="G14" s="224">
        <v>404</v>
      </c>
      <c r="H14" s="224">
        <v>81606.97</v>
      </c>
      <c r="I14" s="224">
        <v>4</v>
      </c>
      <c r="J14" s="224">
        <v>5.58</v>
      </c>
      <c r="K14" s="224">
        <v>0</v>
      </c>
      <c r="L14" s="224">
        <v>0</v>
      </c>
      <c r="M14" s="142">
        <f t="shared" si="0"/>
        <v>98103</v>
      </c>
      <c r="N14" s="142">
        <f t="shared" si="1"/>
        <v>445953.2</v>
      </c>
      <c r="O14" s="131">
        <f>D14*100/'CD Ratio_3(i)'!F14</f>
        <v>8.355922762643651</v>
      </c>
      <c r="P14" s="45">
        <v>175367.03</v>
      </c>
      <c r="Q14" s="45">
        <f t="shared" si="2"/>
        <v>-19247.869999999995</v>
      </c>
      <c r="R14" s="45">
        <f t="shared" si="3"/>
        <v>-192.47869999999995</v>
      </c>
    </row>
    <row r="15" spans="1:18" ht="13.5" customHeight="1" x14ac:dyDescent="0.15">
      <c r="A15" s="210">
        <v>10</v>
      </c>
      <c r="B15" s="142" t="s">
        <v>64</v>
      </c>
      <c r="C15" s="224">
        <v>133058</v>
      </c>
      <c r="D15" s="224">
        <v>404277</v>
      </c>
      <c r="E15" s="224">
        <v>8563</v>
      </c>
      <c r="F15" s="224">
        <v>284835</v>
      </c>
      <c r="G15" s="224">
        <v>271</v>
      </c>
      <c r="H15" s="224">
        <v>48650</v>
      </c>
      <c r="I15" s="224">
        <v>1056</v>
      </c>
      <c r="J15" s="224">
        <v>472</v>
      </c>
      <c r="K15" s="224">
        <v>0</v>
      </c>
      <c r="L15" s="224">
        <v>0</v>
      </c>
      <c r="M15" s="142">
        <f t="shared" si="0"/>
        <v>142948</v>
      </c>
      <c r="N15" s="142">
        <f t="shared" si="1"/>
        <v>738234</v>
      </c>
      <c r="O15" s="131">
        <f>D15*100/'CD Ratio_3(i)'!F15</f>
        <v>5.6842773055920697</v>
      </c>
      <c r="P15" s="45">
        <v>316582</v>
      </c>
      <c r="Q15" s="45">
        <f t="shared" si="2"/>
        <v>-31747</v>
      </c>
      <c r="R15" s="45">
        <f t="shared" si="3"/>
        <v>-317.47000000000003</v>
      </c>
    </row>
    <row r="16" spans="1:18" ht="13.5" customHeight="1" x14ac:dyDescent="0.15">
      <c r="A16" s="210">
        <v>11</v>
      </c>
      <c r="B16" s="142" t="s">
        <v>179</v>
      </c>
      <c r="C16" s="224">
        <v>30236</v>
      </c>
      <c r="D16" s="224">
        <v>30860</v>
      </c>
      <c r="E16" s="224">
        <v>1880</v>
      </c>
      <c r="F16" s="224">
        <v>213082</v>
      </c>
      <c r="G16" s="224">
        <v>38</v>
      </c>
      <c r="H16" s="224">
        <f>16140+16140</f>
        <v>32280</v>
      </c>
      <c r="I16" s="224">
        <v>167</v>
      </c>
      <c r="J16" s="224">
        <v>111</v>
      </c>
      <c r="K16" s="224">
        <v>8584</v>
      </c>
      <c r="L16" s="224">
        <v>5056</v>
      </c>
      <c r="M16" s="142">
        <f t="shared" si="0"/>
        <v>40905</v>
      </c>
      <c r="N16" s="142">
        <f t="shared" si="1"/>
        <v>281389</v>
      </c>
      <c r="O16" s="131">
        <f>D16*100/'CD Ratio_3(i)'!F16</f>
        <v>5.1945603560445255</v>
      </c>
      <c r="P16" s="45">
        <v>37762</v>
      </c>
      <c r="Q16" s="45">
        <f t="shared" si="2"/>
        <v>175320</v>
      </c>
      <c r="R16" s="45">
        <f t="shared" si="3"/>
        <v>1753.2</v>
      </c>
    </row>
    <row r="17" spans="1:18" ht="13.5" customHeight="1" x14ac:dyDescent="0.15">
      <c r="A17" s="210">
        <v>12</v>
      </c>
      <c r="B17" s="142" t="s">
        <v>60</v>
      </c>
      <c r="C17" s="224">
        <v>97747</v>
      </c>
      <c r="D17" s="224">
        <v>210765</v>
      </c>
      <c r="E17" s="224">
        <v>6082</v>
      </c>
      <c r="F17" s="224">
        <v>116009</v>
      </c>
      <c r="G17" s="224">
        <v>868</v>
      </c>
      <c r="H17" s="224">
        <v>55639</v>
      </c>
      <c r="I17" s="224">
        <v>48</v>
      </c>
      <c r="J17" s="224">
        <v>337</v>
      </c>
      <c r="K17" s="224">
        <v>1</v>
      </c>
      <c r="L17" s="224">
        <v>1273</v>
      </c>
      <c r="M17" s="142">
        <f t="shared" si="0"/>
        <v>104746</v>
      </c>
      <c r="N17" s="142">
        <f t="shared" si="1"/>
        <v>384023</v>
      </c>
      <c r="O17" s="131">
        <f>D17*100/'CD Ratio_3(i)'!F17</f>
        <v>13.010731314647776</v>
      </c>
      <c r="P17" s="45">
        <v>133910</v>
      </c>
      <c r="Q17" s="45">
        <f t="shared" si="2"/>
        <v>-17901</v>
      </c>
      <c r="R17" s="45">
        <f t="shared" si="3"/>
        <v>-179.01</v>
      </c>
    </row>
    <row r="18" spans="1:18" s="43" customFormat="1" ht="13.5" customHeight="1" x14ac:dyDescent="0.15">
      <c r="A18" s="269"/>
      <c r="B18" s="139" t="s">
        <v>215</v>
      </c>
      <c r="C18" s="285">
        <f>SUM(C6:C17)</f>
        <v>896889</v>
      </c>
      <c r="D18" s="285">
        <f t="shared" ref="D18:L18" si="4">SUM(D6:D17)</f>
        <v>1903536.6900000002</v>
      </c>
      <c r="E18" s="285">
        <f t="shared" si="4"/>
        <v>43437</v>
      </c>
      <c r="F18" s="285">
        <f t="shared" si="4"/>
        <v>1316196.8</v>
      </c>
      <c r="G18" s="285">
        <f t="shared" si="4"/>
        <v>2688</v>
      </c>
      <c r="H18" s="285">
        <f t="shared" si="4"/>
        <v>351850.43</v>
      </c>
      <c r="I18" s="285">
        <f t="shared" si="4"/>
        <v>6761</v>
      </c>
      <c r="J18" s="285">
        <f t="shared" si="4"/>
        <v>25232.090000000004</v>
      </c>
      <c r="K18" s="285">
        <f t="shared" si="4"/>
        <v>28348</v>
      </c>
      <c r="L18" s="285">
        <f t="shared" si="4"/>
        <v>63844.39</v>
      </c>
      <c r="M18" s="139">
        <f t="shared" si="0"/>
        <v>978123</v>
      </c>
      <c r="N18" s="139">
        <f t="shared" si="1"/>
        <v>3660660.4000000004</v>
      </c>
      <c r="O18" s="132">
        <f>D18*100/'CD Ratio_3(i)'!F18</f>
        <v>9.1487925607288254</v>
      </c>
      <c r="P18" s="46">
        <v>1272598.03</v>
      </c>
      <c r="Q18" s="45">
        <f t="shared" si="2"/>
        <v>43598.770000000019</v>
      </c>
      <c r="R18" s="45">
        <f t="shared" si="3"/>
        <v>435.98770000000019</v>
      </c>
    </row>
    <row r="19" spans="1:18" ht="13.5" customHeight="1" x14ac:dyDescent="0.15">
      <c r="A19" s="210">
        <v>13</v>
      </c>
      <c r="B19" s="142" t="s">
        <v>41</v>
      </c>
      <c r="C19" s="224">
        <v>6118</v>
      </c>
      <c r="D19" s="224">
        <v>103641</v>
      </c>
      <c r="E19" s="224">
        <v>2365</v>
      </c>
      <c r="F19" s="224">
        <v>123038</v>
      </c>
      <c r="G19" s="224">
        <v>527</v>
      </c>
      <c r="H19" s="224">
        <v>76823</v>
      </c>
      <c r="I19" s="224">
        <v>1</v>
      </c>
      <c r="J19" s="224">
        <v>2.65</v>
      </c>
      <c r="K19" s="224">
        <v>0</v>
      </c>
      <c r="L19" s="224">
        <v>0</v>
      </c>
      <c r="M19" s="142">
        <f t="shared" si="0"/>
        <v>9011</v>
      </c>
      <c r="N19" s="142">
        <f t="shared" si="1"/>
        <v>303504.65000000002</v>
      </c>
      <c r="O19" s="131">
        <f>D19*100/'CD Ratio_3(i)'!F19</f>
        <v>8.6803478427387084</v>
      </c>
      <c r="P19" s="45">
        <v>86476.93</v>
      </c>
      <c r="Q19" s="45">
        <f t="shared" si="2"/>
        <v>36561.070000000007</v>
      </c>
      <c r="R19" s="45">
        <f t="shared" si="3"/>
        <v>365.61070000000007</v>
      </c>
    </row>
    <row r="20" spans="1:18" ht="13.5" customHeight="1" x14ac:dyDescent="0.15">
      <c r="A20" s="210">
        <v>14</v>
      </c>
      <c r="B20" s="142" t="s">
        <v>180</v>
      </c>
      <c r="C20" s="224">
        <v>355636</v>
      </c>
      <c r="D20" s="224">
        <v>133554.41</v>
      </c>
      <c r="E20" s="224">
        <v>124</v>
      </c>
      <c r="F20" s="224">
        <v>1249.6099999999999</v>
      </c>
      <c r="G20" s="224">
        <v>5</v>
      </c>
      <c r="H20" s="224">
        <v>134.55000000000001</v>
      </c>
      <c r="I20" s="224">
        <v>0</v>
      </c>
      <c r="J20" s="224">
        <v>0</v>
      </c>
      <c r="K20" s="224">
        <v>0</v>
      </c>
      <c r="L20" s="224">
        <v>0</v>
      </c>
      <c r="M20" s="142">
        <f t="shared" si="0"/>
        <v>355765</v>
      </c>
      <c r="N20" s="142">
        <f t="shared" si="1"/>
        <v>134938.56999999998</v>
      </c>
      <c r="O20" s="131">
        <f>D20*100/'CD Ratio_3(i)'!F20</f>
        <v>20.774481957448764</v>
      </c>
      <c r="P20" s="45">
        <v>0</v>
      </c>
      <c r="Q20" s="45">
        <f t="shared" si="2"/>
        <v>1249.6099999999999</v>
      </c>
      <c r="R20" s="45">
        <f t="shared" si="3"/>
        <v>12.496099999999998</v>
      </c>
    </row>
    <row r="21" spans="1:18" ht="13.5" customHeight="1" x14ac:dyDescent="0.15">
      <c r="A21" s="210">
        <v>15</v>
      </c>
      <c r="B21" s="142" t="s">
        <v>181</v>
      </c>
      <c r="C21" s="224">
        <v>12</v>
      </c>
      <c r="D21" s="224">
        <v>50</v>
      </c>
      <c r="E21" s="224">
        <v>0</v>
      </c>
      <c r="F21" s="224">
        <v>0</v>
      </c>
      <c r="G21" s="224">
        <v>0</v>
      </c>
      <c r="H21" s="224">
        <v>0</v>
      </c>
      <c r="I21" s="224">
        <v>0</v>
      </c>
      <c r="J21" s="224">
        <v>0</v>
      </c>
      <c r="K21" s="224">
        <v>0</v>
      </c>
      <c r="L21" s="224">
        <v>0</v>
      </c>
      <c r="M21" s="142">
        <f t="shared" si="0"/>
        <v>12</v>
      </c>
      <c r="N21" s="142">
        <f t="shared" si="1"/>
        <v>50</v>
      </c>
      <c r="O21" s="131">
        <f>D21*100/'CD Ratio_3(i)'!F21</f>
        <v>2.6609898882384249</v>
      </c>
      <c r="P21" s="45">
        <v>43.39</v>
      </c>
      <c r="Q21" s="45">
        <f t="shared" si="2"/>
        <v>-43.39</v>
      </c>
      <c r="R21" s="45">
        <f t="shared" si="3"/>
        <v>-0.43390000000000001</v>
      </c>
    </row>
    <row r="22" spans="1:18" ht="13.5" customHeight="1" x14ac:dyDescent="0.15">
      <c r="A22" s="210">
        <v>16</v>
      </c>
      <c r="B22" s="142" t="s">
        <v>45</v>
      </c>
      <c r="C22" s="224">
        <v>67</v>
      </c>
      <c r="D22" s="224">
        <v>2265.71</v>
      </c>
      <c r="E22" s="224">
        <v>53</v>
      </c>
      <c r="F22" s="224">
        <v>5832.66</v>
      </c>
      <c r="G22" s="224">
        <v>5</v>
      </c>
      <c r="H22" s="224">
        <v>789.07</v>
      </c>
      <c r="I22" s="224">
        <v>0</v>
      </c>
      <c r="J22" s="224">
        <v>0</v>
      </c>
      <c r="K22" s="224">
        <v>0</v>
      </c>
      <c r="L22" s="224">
        <v>0</v>
      </c>
      <c r="M22" s="142">
        <f t="shared" si="0"/>
        <v>125</v>
      </c>
      <c r="N22" s="142">
        <f t="shared" si="1"/>
        <v>8887.44</v>
      </c>
      <c r="O22" s="131">
        <f>D22*100/'CD Ratio_3(i)'!F22</f>
        <v>18.289642991490108</v>
      </c>
      <c r="P22" s="45">
        <v>4553.5200000000004</v>
      </c>
      <c r="Q22" s="45">
        <f t="shared" si="2"/>
        <v>1279.1399999999994</v>
      </c>
      <c r="R22" s="45">
        <f t="shared" si="3"/>
        <v>12.791399999999994</v>
      </c>
    </row>
    <row r="23" spans="1:18" ht="13.5" customHeight="1" x14ac:dyDescent="0.15">
      <c r="A23" s="210">
        <v>17</v>
      </c>
      <c r="B23" s="142" t="s">
        <v>182</v>
      </c>
      <c r="C23" s="224">
        <v>1698</v>
      </c>
      <c r="D23" s="224">
        <v>23025</v>
      </c>
      <c r="E23" s="224">
        <v>811</v>
      </c>
      <c r="F23" s="224">
        <v>7772</v>
      </c>
      <c r="G23" s="224">
        <v>12</v>
      </c>
      <c r="H23" s="224">
        <v>115</v>
      </c>
      <c r="I23" s="224">
        <v>0</v>
      </c>
      <c r="J23" s="224">
        <v>0</v>
      </c>
      <c r="K23" s="224">
        <v>0</v>
      </c>
      <c r="L23" s="224">
        <v>0</v>
      </c>
      <c r="M23" s="142">
        <f t="shared" si="0"/>
        <v>2521</v>
      </c>
      <c r="N23" s="142">
        <f t="shared" si="1"/>
        <v>30912</v>
      </c>
      <c r="O23" s="131">
        <f>D23*100/'CD Ratio_3(i)'!F23</f>
        <v>21.396511509046473</v>
      </c>
      <c r="P23" s="45">
        <v>8044.07</v>
      </c>
      <c r="Q23" s="45">
        <f t="shared" si="2"/>
        <v>-272.06999999999971</v>
      </c>
      <c r="R23" s="45">
        <f t="shared" si="3"/>
        <v>-2.7206999999999972</v>
      </c>
    </row>
    <row r="24" spans="1:18" ht="13.5" customHeight="1" x14ac:dyDescent="0.15">
      <c r="A24" s="210">
        <v>18</v>
      </c>
      <c r="B24" s="142" t="s">
        <v>183</v>
      </c>
      <c r="C24" s="224">
        <v>0</v>
      </c>
      <c r="D24" s="224">
        <v>0</v>
      </c>
      <c r="E24" s="224">
        <v>5</v>
      </c>
      <c r="F24" s="224">
        <v>25.9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0</v>
      </c>
      <c r="M24" s="142">
        <f t="shared" si="0"/>
        <v>5</v>
      </c>
      <c r="N24" s="142">
        <f t="shared" si="1"/>
        <v>25.9</v>
      </c>
      <c r="O24" s="131">
        <f>D24*100/'CD Ratio_3(i)'!F24</f>
        <v>0</v>
      </c>
      <c r="P24" s="45">
        <v>0</v>
      </c>
      <c r="Q24" s="45">
        <f t="shared" si="2"/>
        <v>25.9</v>
      </c>
      <c r="R24" s="45">
        <f t="shared" si="3"/>
        <v>0.25900000000000001</v>
      </c>
    </row>
    <row r="25" spans="1:18" ht="13.5" customHeight="1" x14ac:dyDescent="0.15">
      <c r="A25" s="210">
        <v>19</v>
      </c>
      <c r="B25" s="142" t="s">
        <v>184</v>
      </c>
      <c r="C25" s="224">
        <v>69</v>
      </c>
      <c r="D25" s="224">
        <v>926</v>
      </c>
      <c r="E25" s="224">
        <v>11</v>
      </c>
      <c r="F25" s="224">
        <v>441</v>
      </c>
      <c r="G25" s="224">
        <v>3</v>
      </c>
      <c r="H25" s="224">
        <v>874</v>
      </c>
      <c r="I25" s="224">
        <v>0</v>
      </c>
      <c r="J25" s="224">
        <v>0</v>
      </c>
      <c r="K25" s="224">
        <v>0</v>
      </c>
      <c r="L25" s="224">
        <v>0</v>
      </c>
      <c r="M25" s="142">
        <f t="shared" si="0"/>
        <v>83</v>
      </c>
      <c r="N25" s="142">
        <f t="shared" si="1"/>
        <v>2241</v>
      </c>
      <c r="O25" s="131">
        <f>D25*100/'CD Ratio_3(i)'!F25</f>
        <v>1.9755088108546315</v>
      </c>
      <c r="P25" s="45">
        <v>615</v>
      </c>
      <c r="Q25" s="45">
        <f t="shared" si="2"/>
        <v>-174</v>
      </c>
      <c r="R25" s="45">
        <f t="shared" si="3"/>
        <v>-1.74</v>
      </c>
    </row>
    <row r="26" spans="1:18" ht="13.5" customHeight="1" x14ac:dyDescent="0.15">
      <c r="A26" s="210">
        <v>20</v>
      </c>
      <c r="B26" s="142" t="s">
        <v>65</v>
      </c>
      <c r="C26" s="224">
        <v>2523</v>
      </c>
      <c r="D26" s="224">
        <v>62532.65</v>
      </c>
      <c r="E26" s="224">
        <v>2101</v>
      </c>
      <c r="F26" s="224">
        <v>99035.46</v>
      </c>
      <c r="G26" s="224">
        <v>790</v>
      </c>
      <c r="H26" s="224">
        <v>109173.7</v>
      </c>
      <c r="I26" s="224">
        <v>0</v>
      </c>
      <c r="J26" s="224">
        <v>0</v>
      </c>
      <c r="K26" s="224">
        <v>0</v>
      </c>
      <c r="L26" s="224">
        <v>0</v>
      </c>
      <c r="M26" s="142">
        <f t="shared" si="0"/>
        <v>5414</v>
      </c>
      <c r="N26" s="142">
        <f t="shared" si="1"/>
        <v>270741.81</v>
      </c>
      <c r="O26" s="131">
        <f>D26*100/'CD Ratio_3(i)'!F26</f>
        <v>2.5855887145725012</v>
      </c>
      <c r="P26" s="45">
        <v>230368.94</v>
      </c>
      <c r="Q26" s="45">
        <f t="shared" si="2"/>
        <v>-131333.47999999998</v>
      </c>
      <c r="R26" s="45">
        <f t="shared" si="3"/>
        <v>-1313.3347999999999</v>
      </c>
    </row>
    <row r="27" spans="1:18" ht="13.5" customHeight="1" x14ac:dyDescent="0.15">
      <c r="A27" s="210">
        <v>21</v>
      </c>
      <c r="B27" s="142" t="s">
        <v>66</v>
      </c>
      <c r="C27" s="224">
        <v>17679</v>
      </c>
      <c r="D27" s="224">
        <v>239178</v>
      </c>
      <c r="E27" s="224">
        <v>8529</v>
      </c>
      <c r="F27" s="224">
        <v>206257</v>
      </c>
      <c r="G27" s="224">
        <f>1240+10</f>
        <v>1250</v>
      </c>
      <c r="H27" s="224">
        <f>77759+1042</f>
        <v>78801</v>
      </c>
      <c r="I27" s="224">
        <v>0</v>
      </c>
      <c r="J27" s="224">
        <v>0</v>
      </c>
      <c r="K27" s="224">
        <v>0</v>
      </c>
      <c r="L27" s="224">
        <v>0</v>
      </c>
      <c r="M27" s="142">
        <f t="shared" si="0"/>
        <v>27458</v>
      </c>
      <c r="N27" s="142">
        <f t="shared" si="1"/>
        <v>524236</v>
      </c>
      <c r="O27" s="131">
        <f>D27*100/'CD Ratio_3(i)'!F27</f>
        <v>10.54153292041865</v>
      </c>
      <c r="P27" s="45">
        <v>179722</v>
      </c>
      <c r="Q27" s="45">
        <f t="shared" si="2"/>
        <v>26535</v>
      </c>
      <c r="R27" s="45">
        <f t="shared" si="3"/>
        <v>265.35000000000002</v>
      </c>
    </row>
    <row r="28" spans="1:18" ht="13.5" customHeight="1" x14ac:dyDescent="0.15">
      <c r="A28" s="210">
        <v>22</v>
      </c>
      <c r="B28" s="142" t="s">
        <v>75</v>
      </c>
      <c r="C28" s="224">
        <v>20403</v>
      </c>
      <c r="D28" s="224">
        <v>67008</v>
      </c>
      <c r="E28" s="224">
        <v>931</v>
      </c>
      <c r="F28" s="224">
        <v>25467</v>
      </c>
      <c r="G28" s="224">
        <v>44</v>
      </c>
      <c r="H28" s="224">
        <v>2296</v>
      </c>
      <c r="I28" s="224">
        <v>19</v>
      </c>
      <c r="J28" s="224">
        <v>1194</v>
      </c>
      <c r="K28" s="224">
        <v>0</v>
      </c>
      <c r="L28" s="224">
        <v>0</v>
      </c>
      <c r="M28" s="142">
        <f t="shared" si="0"/>
        <v>21397</v>
      </c>
      <c r="N28" s="142">
        <f t="shared" si="1"/>
        <v>95965</v>
      </c>
      <c r="O28" s="131">
        <f>D28*100/'CD Ratio_3(i)'!F28</f>
        <v>23.731490761760739</v>
      </c>
      <c r="P28" s="45">
        <v>35787</v>
      </c>
      <c r="Q28" s="45">
        <f t="shared" si="2"/>
        <v>-10320</v>
      </c>
      <c r="R28" s="45">
        <f t="shared" si="3"/>
        <v>-103.2</v>
      </c>
    </row>
    <row r="29" spans="1:18" ht="13.5" customHeight="1" x14ac:dyDescent="0.15">
      <c r="A29" s="210">
        <v>23</v>
      </c>
      <c r="B29" s="142" t="s">
        <v>379</v>
      </c>
      <c r="C29" s="224">
        <v>62473</v>
      </c>
      <c r="D29" s="224">
        <v>56854</v>
      </c>
      <c r="E29" s="224">
        <v>2166</v>
      </c>
      <c r="F29" s="224">
        <v>26887</v>
      </c>
      <c r="G29" s="224">
        <v>290</v>
      </c>
      <c r="H29" s="224">
        <v>3721</v>
      </c>
      <c r="I29" s="224">
        <v>458</v>
      </c>
      <c r="J29" s="224">
        <v>317</v>
      </c>
      <c r="K29" s="224">
        <v>0</v>
      </c>
      <c r="L29" s="224">
        <v>0</v>
      </c>
      <c r="M29" s="142">
        <f t="shared" si="0"/>
        <v>65387</v>
      </c>
      <c r="N29" s="142">
        <f t="shared" si="1"/>
        <v>87779</v>
      </c>
      <c r="O29" s="131">
        <f>D29*100/'CD Ratio_3(i)'!F29</f>
        <v>17.259342460763182</v>
      </c>
      <c r="P29" s="45">
        <v>10972</v>
      </c>
      <c r="Q29" s="45">
        <f t="shared" si="2"/>
        <v>15915</v>
      </c>
      <c r="R29" s="45">
        <f t="shared" si="3"/>
        <v>159.15</v>
      </c>
    </row>
    <row r="30" spans="1:18" ht="13.5" customHeight="1" x14ac:dyDescent="0.15">
      <c r="A30" s="210">
        <v>24</v>
      </c>
      <c r="B30" s="142" t="s">
        <v>185</v>
      </c>
      <c r="C30" s="224">
        <v>291145</v>
      </c>
      <c r="D30" s="224">
        <v>108180</v>
      </c>
      <c r="E30" s="224">
        <v>5978</v>
      </c>
      <c r="F30" s="224">
        <v>64758</v>
      </c>
      <c r="G30" s="224">
        <v>514</v>
      </c>
      <c r="H30" s="224">
        <v>17477</v>
      </c>
      <c r="I30" s="224">
        <v>0</v>
      </c>
      <c r="J30" s="224">
        <v>0</v>
      </c>
      <c r="K30" s="224">
        <v>0</v>
      </c>
      <c r="L30" s="224">
        <v>0</v>
      </c>
      <c r="M30" s="142">
        <f t="shared" si="0"/>
        <v>297637</v>
      </c>
      <c r="N30" s="142">
        <f t="shared" si="1"/>
        <v>190415</v>
      </c>
      <c r="O30" s="131">
        <f>D30*100/'CD Ratio_3(i)'!F30</f>
        <v>18.204428768315072</v>
      </c>
      <c r="P30" s="45">
        <v>94479.360000000001</v>
      </c>
      <c r="Q30" s="45">
        <f t="shared" si="2"/>
        <v>-29721.360000000001</v>
      </c>
      <c r="R30" s="45">
        <f t="shared" si="3"/>
        <v>-297.21359999999999</v>
      </c>
    </row>
    <row r="31" spans="1:18" ht="13.5" customHeight="1" x14ac:dyDescent="0.15">
      <c r="A31" s="210">
        <v>25</v>
      </c>
      <c r="B31" s="142" t="s">
        <v>186</v>
      </c>
      <c r="C31" s="224">
        <v>310</v>
      </c>
      <c r="D31" s="224">
        <v>890</v>
      </c>
      <c r="E31" s="224">
        <v>28</v>
      </c>
      <c r="F31" s="224">
        <v>747</v>
      </c>
      <c r="G31" s="224">
        <v>0</v>
      </c>
      <c r="H31" s="224">
        <v>0</v>
      </c>
      <c r="I31" s="224">
        <v>0</v>
      </c>
      <c r="J31" s="224">
        <v>0</v>
      </c>
      <c r="K31" s="224">
        <v>0</v>
      </c>
      <c r="L31" s="224">
        <v>0</v>
      </c>
      <c r="M31" s="142">
        <f t="shared" si="0"/>
        <v>338</v>
      </c>
      <c r="N31" s="142">
        <f t="shared" si="1"/>
        <v>1637</v>
      </c>
      <c r="O31" s="131">
        <f>D31*100/'CD Ratio_3(i)'!F31</f>
        <v>22.762148337595907</v>
      </c>
      <c r="P31" s="45">
        <v>755.76</v>
      </c>
      <c r="Q31" s="45">
        <f t="shared" si="2"/>
        <v>-8.7599999999999909</v>
      </c>
      <c r="R31" s="45">
        <f t="shared" si="3"/>
        <v>-8.7599999999999914E-2</v>
      </c>
    </row>
    <row r="32" spans="1:18" ht="13.5" customHeight="1" x14ac:dyDescent="0.15">
      <c r="A32" s="210">
        <v>26</v>
      </c>
      <c r="B32" s="142" t="s">
        <v>187</v>
      </c>
      <c r="C32" s="224">
        <v>402</v>
      </c>
      <c r="D32" s="224">
        <v>6069.45</v>
      </c>
      <c r="E32" s="224">
        <v>92</v>
      </c>
      <c r="F32" s="224">
        <v>5958.42</v>
      </c>
      <c r="G32" s="224">
        <v>11</v>
      </c>
      <c r="H32" s="224">
        <v>5246.18</v>
      </c>
      <c r="I32" s="224">
        <v>0</v>
      </c>
      <c r="J32" s="224">
        <v>0</v>
      </c>
      <c r="K32" s="224">
        <v>0</v>
      </c>
      <c r="L32" s="224">
        <v>0</v>
      </c>
      <c r="M32" s="142">
        <f t="shared" si="0"/>
        <v>505</v>
      </c>
      <c r="N32" s="142">
        <f t="shared" si="1"/>
        <v>17274.05</v>
      </c>
      <c r="O32" s="131">
        <f>D32*100/'CD Ratio_3(i)'!F32</f>
        <v>14.438077159128213</v>
      </c>
      <c r="P32" s="45">
        <v>71.13</v>
      </c>
      <c r="Q32" s="45">
        <f t="shared" si="2"/>
        <v>5887.29</v>
      </c>
      <c r="R32" s="45">
        <f t="shared" si="3"/>
        <v>58.872900000000001</v>
      </c>
    </row>
    <row r="33" spans="1:18" ht="13.5" customHeight="1" x14ac:dyDescent="0.15">
      <c r="A33" s="210">
        <v>27</v>
      </c>
      <c r="B33" s="142" t="s">
        <v>188</v>
      </c>
      <c r="C33" s="224">
        <v>0</v>
      </c>
      <c r="D33" s="224">
        <v>0</v>
      </c>
      <c r="E33" s="224">
        <v>0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v>97</v>
      </c>
      <c r="L33" s="224">
        <v>3327.2</v>
      </c>
      <c r="M33" s="142">
        <f t="shared" si="0"/>
        <v>97</v>
      </c>
      <c r="N33" s="142">
        <f t="shared" si="1"/>
        <v>3327.2</v>
      </c>
      <c r="O33" s="131">
        <f>D33*100/'CD Ratio_3(i)'!F33</f>
        <v>0</v>
      </c>
      <c r="P33" s="45">
        <v>0</v>
      </c>
      <c r="Q33" s="45">
        <f t="shared" si="2"/>
        <v>0</v>
      </c>
      <c r="R33" s="45">
        <f t="shared" si="3"/>
        <v>0</v>
      </c>
    </row>
    <row r="34" spans="1:18" ht="13.5" customHeight="1" x14ac:dyDescent="0.15">
      <c r="A34" s="210">
        <v>28</v>
      </c>
      <c r="B34" s="142" t="s">
        <v>67</v>
      </c>
      <c r="C34" s="224">
        <v>4181</v>
      </c>
      <c r="D34" s="224">
        <v>67395.12</v>
      </c>
      <c r="E34" s="224">
        <v>2401</v>
      </c>
      <c r="F34" s="224">
        <v>83844.69</v>
      </c>
      <c r="G34" s="224">
        <v>668</v>
      </c>
      <c r="H34" s="224">
        <v>45366.13</v>
      </c>
      <c r="I34" s="224">
        <v>0</v>
      </c>
      <c r="J34" s="224">
        <v>0</v>
      </c>
      <c r="K34" s="224">
        <v>0</v>
      </c>
      <c r="L34" s="224">
        <v>0</v>
      </c>
      <c r="M34" s="142">
        <f t="shared" si="0"/>
        <v>7250</v>
      </c>
      <c r="N34" s="142">
        <f t="shared" si="1"/>
        <v>196605.94</v>
      </c>
      <c r="O34" s="131">
        <f>D34*100/'CD Ratio_3(i)'!F34</f>
        <v>11.855921754538896</v>
      </c>
      <c r="P34" s="45">
        <v>89168.37</v>
      </c>
      <c r="Q34" s="45">
        <f t="shared" si="2"/>
        <v>-5323.679999999993</v>
      </c>
      <c r="R34" s="45">
        <f t="shared" si="3"/>
        <v>-53.236799999999931</v>
      </c>
    </row>
    <row r="35" spans="1:18" ht="13.5" customHeight="1" x14ac:dyDescent="0.15">
      <c r="A35" s="210">
        <v>29</v>
      </c>
      <c r="B35" s="142" t="s">
        <v>189</v>
      </c>
      <c r="C35" s="224">
        <v>15</v>
      </c>
      <c r="D35" s="224">
        <v>384</v>
      </c>
      <c r="E35" s="224">
        <v>0</v>
      </c>
      <c r="F35" s="224">
        <v>0</v>
      </c>
      <c r="G35" s="224">
        <v>3</v>
      </c>
      <c r="H35" s="224">
        <v>48</v>
      </c>
      <c r="I35" s="224">
        <v>0</v>
      </c>
      <c r="J35" s="224">
        <v>0</v>
      </c>
      <c r="K35" s="224">
        <v>33</v>
      </c>
      <c r="L35" s="224">
        <v>451</v>
      </c>
      <c r="M35" s="142">
        <f t="shared" si="0"/>
        <v>51</v>
      </c>
      <c r="N35" s="142">
        <f t="shared" si="1"/>
        <v>883</v>
      </c>
      <c r="O35" s="131">
        <f>D35*100/'CD Ratio_3(i)'!F35</f>
        <v>6.2683643486777667</v>
      </c>
      <c r="P35" s="45">
        <v>0</v>
      </c>
      <c r="Q35" s="45">
        <f t="shared" si="2"/>
        <v>0</v>
      </c>
      <c r="R35" s="45">
        <f t="shared" si="3"/>
        <v>0</v>
      </c>
    </row>
    <row r="36" spans="1:18" ht="13.5" customHeight="1" x14ac:dyDescent="0.15">
      <c r="A36" s="210">
        <v>30</v>
      </c>
      <c r="B36" s="142" t="s">
        <v>190</v>
      </c>
      <c r="C36" s="224">
        <v>3598</v>
      </c>
      <c r="D36" s="224">
        <v>3767</v>
      </c>
      <c r="E36" s="224">
        <v>43</v>
      </c>
      <c r="F36" s="224">
        <v>2207</v>
      </c>
      <c r="G36" s="224">
        <v>0</v>
      </c>
      <c r="H36" s="224">
        <v>0</v>
      </c>
      <c r="I36" s="224">
        <v>0</v>
      </c>
      <c r="J36" s="224">
        <v>0</v>
      </c>
      <c r="K36" s="224">
        <v>0</v>
      </c>
      <c r="L36" s="224">
        <v>0</v>
      </c>
      <c r="M36" s="142">
        <f t="shared" si="0"/>
        <v>3641</v>
      </c>
      <c r="N36" s="142">
        <f t="shared" si="1"/>
        <v>5974</v>
      </c>
      <c r="O36" s="131">
        <f>D36*100/'CD Ratio_3(i)'!F36</f>
        <v>4.333770506891236</v>
      </c>
      <c r="P36" s="45">
        <v>4410</v>
      </c>
      <c r="Q36" s="45">
        <f t="shared" si="2"/>
        <v>-2203</v>
      </c>
      <c r="R36" s="45">
        <f t="shared" si="3"/>
        <v>-22.03</v>
      </c>
    </row>
    <row r="37" spans="1:18" ht="13.5" customHeight="1" x14ac:dyDescent="0.15">
      <c r="A37" s="210">
        <v>31</v>
      </c>
      <c r="B37" s="142" t="s">
        <v>191</v>
      </c>
      <c r="C37" s="224">
        <v>56</v>
      </c>
      <c r="D37" s="224">
        <v>940</v>
      </c>
      <c r="E37" s="224">
        <v>14</v>
      </c>
      <c r="F37" s="224">
        <v>2539</v>
      </c>
      <c r="G37" s="224">
        <v>4</v>
      </c>
      <c r="H37" s="224">
        <v>1976</v>
      </c>
      <c r="I37" s="224">
        <v>0</v>
      </c>
      <c r="J37" s="224">
        <v>0</v>
      </c>
      <c r="K37" s="224">
        <v>0</v>
      </c>
      <c r="L37" s="224">
        <v>0</v>
      </c>
      <c r="M37" s="142">
        <f t="shared" si="0"/>
        <v>74</v>
      </c>
      <c r="N37" s="142">
        <f t="shared" si="1"/>
        <v>5455</v>
      </c>
      <c r="O37" s="131">
        <f>D37*100/'CD Ratio_3(i)'!F37</f>
        <v>9.6757591353576942</v>
      </c>
      <c r="P37" s="45">
        <v>1812.68</v>
      </c>
      <c r="Q37" s="45">
        <f t="shared" si="2"/>
        <v>726.31999999999994</v>
      </c>
      <c r="R37" s="45">
        <f t="shared" si="3"/>
        <v>7.2631999999999994</v>
      </c>
    </row>
    <row r="38" spans="1:18" ht="13.5" customHeight="1" x14ac:dyDescent="0.15">
      <c r="A38" s="210">
        <v>32</v>
      </c>
      <c r="B38" s="142" t="s">
        <v>71</v>
      </c>
      <c r="C38" s="224">
        <v>0</v>
      </c>
      <c r="D38" s="224">
        <v>0</v>
      </c>
      <c r="E38" s="224">
        <v>0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  <c r="L38" s="224">
        <v>17024</v>
      </c>
      <c r="M38" s="142">
        <f t="shared" si="0"/>
        <v>0</v>
      </c>
      <c r="N38" s="142">
        <f t="shared" si="1"/>
        <v>17024</v>
      </c>
      <c r="O38" s="131">
        <f>D38*100/'CD Ratio_3(i)'!F38</f>
        <v>0</v>
      </c>
      <c r="P38" s="45">
        <v>0</v>
      </c>
      <c r="Q38" s="45">
        <f t="shared" si="2"/>
        <v>0</v>
      </c>
      <c r="R38" s="45">
        <f t="shared" si="3"/>
        <v>0</v>
      </c>
    </row>
    <row r="39" spans="1:18" ht="13.5" customHeight="1" x14ac:dyDescent="0.15">
      <c r="A39" s="210">
        <v>33</v>
      </c>
      <c r="B39" s="142" t="s">
        <v>192</v>
      </c>
      <c r="C39" s="224">
        <v>106</v>
      </c>
      <c r="D39" s="224">
        <v>940</v>
      </c>
      <c r="E39" s="224">
        <v>25</v>
      </c>
      <c r="F39" s="224">
        <v>632</v>
      </c>
      <c r="G39" s="224">
        <v>3</v>
      </c>
      <c r="H39" s="224">
        <v>605</v>
      </c>
      <c r="I39" s="224">
        <v>0</v>
      </c>
      <c r="J39" s="224">
        <v>0</v>
      </c>
      <c r="K39" s="224">
        <v>0</v>
      </c>
      <c r="L39" s="224">
        <v>0</v>
      </c>
      <c r="M39" s="142">
        <f t="shared" si="0"/>
        <v>134</v>
      </c>
      <c r="N39" s="142">
        <f t="shared" si="1"/>
        <v>2177</v>
      </c>
      <c r="O39" s="131">
        <f>D39*100/'CD Ratio_3(i)'!F39</f>
        <v>14.071856287425149</v>
      </c>
      <c r="P39" s="45">
        <v>0</v>
      </c>
      <c r="Q39" s="45">
        <f t="shared" si="2"/>
        <v>632</v>
      </c>
      <c r="R39" s="45">
        <f t="shared" si="3"/>
        <v>6.32</v>
      </c>
    </row>
    <row r="40" spans="1:18" ht="13.5" customHeight="1" x14ac:dyDescent="0.15">
      <c r="A40" s="210">
        <v>34</v>
      </c>
      <c r="B40" s="142" t="s">
        <v>70</v>
      </c>
      <c r="C40" s="224">
        <v>1629</v>
      </c>
      <c r="D40" s="224">
        <v>35434</v>
      </c>
      <c r="E40" s="224">
        <v>1106</v>
      </c>
      <c r="F40" s="224">
        <v>34814</v>
      </c>
      <c r="G40" s="224">
        <v>411</v>
      </c>
      <c r="H40" s="224">
        <v>9589</v>
      </c>
      <c r="I40" s="224">
        <v>0</v>
      </c>
      <c r="J40" s="224">
        <v>0</v>
      </c>
      <c r="K40" s="224">
        <v>0</v>
      </c>
      <c r="L40" s="224">
        <v>0</v>
      </c>
      <c r="M40" s="142">
        <f t="shared" si="0"/>
        <v>3146</v>
      </c>
      <c r="N40" s="142">
        <f t="shared" si="1"/>
        <v>79837</v>
      </c>
      <c r="O40" s="131">
        <f>D40*100/'CD Ratio_3(i)'!F40</f>
        <v>16.298763126543793</v>
      </c>
      <c r="P40" s="45">
        <v>30535</v>
      </c>
      <c r="Q40" s="45">
        <f t="shared" si="2"/>
        <v>4279</v>
      </c>
      <c r="R40" s="45">
        <f t="shared" si="3"/>
        <v>42.79</v>
      </c>
    </row>
    <row r="41" spans="1:18" s="43" customFormat="1" ht="13.5" customHeight="1" x14ac:dyDescent="0.15">
      <c r="A41" s="269"/>
      <c r="B41" s="139" t="s">
        <v>212</v>
      </c>
      <c r="C41" s="285">
        <f>SUM(C19:C40)</f>
        <v>768120</v>
      </c>
      <c r="D41" s="285">
        <f t="shared" ref="D41:L41" si="5">SUM(D19:D40)</f>
        <v>913034.34</v>
      </c>
      <c r="E41" s="285">
        <f t="shared" si="5"/>
        <v>26783</v>
      </c>
      <c r="F41" s="285">
        <f t="shared" si="5"/>
        <v>691505.74</v>
      </c>
      <c r="G41" s="285">
        <f t="shared" si="5"/>
        <v>4540</v>
      </c>
      <c r="H41" s="285">
        <f t="shared" si="5"/>
        <v>353034.63</v>
      </c>
      <c r="I41" s="285">
        <f t="shared" si="5"/>
        <v>478</v>
      </c>
      <c r="J41" s="285">
        <f t="shared" si="5"/>
        <v>1513.65</v>
      </c>
      <c r="K41" s="285">
        <f t="shared" si="5"/>
        <v>130</v>
      </c>
      <c r="L41" s="285">
        <f t="shared" si="5"/>
        <v>20802.2</v>
      </c>
      <c r="M41" s="139">
        <f t="shared" si="0"/>
        <v>800051</v>
      </c>
      <c r="N41" s="139">
        <f t="shared" si="1"/>
        <v>1979890.5599999998</v>
      </c>
      <c r="O41" s="132">
        <f>D41*100/'CD Ratio_3(i)'!F41</f>
        <v>10.287718068776639</v>
      </c>
      <c r="P41" s="46">
        <v>777815.15</v>
      </c>
      <c r="Q41" s="45">
        <f t="shared" si="2"/>
        <v>-86309.410000000033</v>
      </c>
      <c r="R41" s="45">
        <f t="shared" si="3"/>
        <v>-863.09410000000037</v>
      </c>
    </row>
    <row r="42" spans="1:18" s="43" customFormat="1" ht="13.5" customHeight="1" x14ac:dyDescent="0.15">
      <c r="A42" s="269"/>
      <c r="B42" s="139" t="s">
        <v>311</v>
      </c>
      <c r="C42" s="285">
        <f>C41+C18</f>
        <v>1665009</v>
      </c>
      <c r="D42" s="285">
        <f t="shared" ref="D42:L42" si="6">D41+D18</f>
        <v>2816571.0300000003</v>
      </c>
      <c r="E42" s="285">
        <f t="shared" si="6"/>
        <v>70220</v>
      </c>
      <c r="F42" s="285">
        <f t="shared" si="6"/>
        <v>2007702.54</v>
      </c>
      <c r="G42" s="285">
        <f t="shared" si="6"/>
        <v>7228</v>
      </c>
      <c r="H42" s="285">
        <f t="shared" si="6"/>
        <v>704885.06</v>
      </c>
      <c r="I42" s="285">
        <f t="shared" si="6"/>
        <v>7239</v>
      </c>
      <c r="J42" s="285">
        <f t="shared" si="6"/>
        <v>26745.740000000005</v>
      </c>
      <c r="K42" s="285">
        <f t="shared" si="6"/>
        <v>28478</v>
      </c>
      <c r="L42" s="285">
        <f t="shared" si="6"/>
        <v>84646.59</v>
      </c>
      <c r="M42" s="139">
        <f t="shared" si="0"/>
        <v>1778174</v>
      </c>
      <c r="N42" s="139">
        <f t="shared" si="1"/>
        <v>5640550.9600000009</v>
      </c>
      <c r="O42" s="132">
        <f>D42*100/'CD Ratio_3(i)'!F42</f>
        <v>9.4893408607474807</v>
      </c>
      <c r="P42" s="46">
        <v>2050413.1800000002</v>
      </c>
      <c r="Q42" s="45">
        <f t="shared" si="2"/>
        <v>-42710.64000000013</v>
      </c>
      <c r="R42" s="45">
        <f t="shared" si="3"/>
        <v>-427.10640000000132</v>
      </c>
    </row>
    <row r="43" spans="1:18" ht="13.5" customHeight="1" x14ac:dyDescent="0.15">
      <c r="A43" s="210">
        <v>35</v>
      </c>
      <c r="B43" s="142" t="s">
        <v>193</v>
      </c>
      <c r="C43" s="224">
        <v>63811</v>
      </c>
      <c r="D43" s="224">
        <v>23856</v>
      </c>
      <c r="E43" s="224">
        <v>0</v>
      </c>
      <c r="F43" s="224">
        <v>0</v>
      </c>
      <c r="G43" s="224">
        <v>0</v>
      </c>
      <c r="H43" s="224">
        <v>0</v>
      </c>
      <c r="I43" s="224">
        <v>298</v>
      </c>
      <c r="J43" s="224">
        <v>797</v>
      </c>
      <c r="K43" s="224">
        <v>0</v>
      </c>
      <c r="L43" s="224">
        <v>0</v>
      </c>
      <c r="M43" s="142">
        <f t="shared" si="0"/>
        <v>64109</v>
      </c>
      <c r="N43" s="142">
        <f t="shared" si="1"/>
        <v>24653</v>
      </c>
      <c r="O43" s="131">
        <f>D43*100/'CD Ratio_3(i)'!F43</f>
        <v>8.5920195351752007</v>
      </c>
      <c r="P43" s="45">
        <v>0</v>
      </c>
      <c r="Q43" s="45">
        <f t="shared" si="2"/>
        <v>0</v>
      </c>
      <c r="R43" s="45">
        <f t="shared" si="3"/>
        <v>0</v>
      </c>
    </row>
    <row r="44" spans="1:18" ht="13.5" customHeight="1" x14ac:dyDescent="0.15">
      <c r="A44" s="210">
        <v>36</v>
      </c>
      <c r="B44" s="142" t="s">
        <v>382</v>
      </c>
      <c r="C44" s="224">
        <v>222188</v>
      </c>
      <c r="D44" s="224">
        <v>138669.73000000001</v>
      </c>
      <c r="E44" s="224">
        <v>26</v>
      </c>
      <c r="F44" s="224">
        <v>1962.59</v>
      </c>
      <c r="G44" s="224">
        <v>0</v>
      </c>
      <c r="H44" s="224">
        <v>0</v>
      </c>
      <c r="I44" s="224">
        <v>0</v>
      </c>
      <c r="J44" s="224">
        <v>0</v>
      </c>
      <c r="K44" s="224">
        <v>0</v>
      </c>
      <c r="L44" s="224">
        <v>0</v>
      </c>
      <c r="M44" s="142">
        <f t="shared" si="0"/>
        <v>222214</v>
      </c>
      <c r="N44" s="142">
        <f t="shared" si="1"/>
        <v>140632.32000000001</v>
      </c>
      <c r="O44" s="131">
        <f>D44*100/'CD Ratio_3(i)'!F44</f>
        <v>12.719142739667223</v>
      </c>
      <c r="P44" s="45">
        <v>17044.939999999999</v>
      </c>
      <c r="Q44" s="45">
        <f t="shared" si="2"/>
        <v>-15082.349999999999</v>
      </c>
      <c r="R44" s="45">
        <f t="shared" si="3"/>
        <v>-150.8235</v>
      </c>
    </row>
    <row r="45" spans="1:18" s="43" customFormat="1" ht="13.5" customHeight="1" x14ac:dyDescent="0.15">
      <c r="A45" s="269"/>
      <c r="B45" s="139" t="s">
        <v>216</v>
      </c>
      <c r="C45" s="285">
        <f>SUM(C43:C44)</f>
        <v>285999</v>
      </c>
      <c r="D45" s="285">
        <f t="shared" ref="D45:L45" si="7">SUM(D43:D44)</f>
        <v>162525.73000000001</v>
      </c>
      <c r="E45" s="285">
        <f t="shared" si="7"/>
        <v>26</v>
      </c>
      <c r="F45" s="285">
        <f t="shared" si="7"/>
        <v>1962.59</v>
      </c>
      <c r="G45" s="285">
        <f t="shared" si="7"/>
        <v>0</v>
      </c>
      <c r="H45" s="285">
        <f t="shared" si="7"/>
        <v>0</v>
      </c>
      <c r="I45" s="285">
        <f t="shared" si="7"/>
        <v>298</v>
      </c>
      <c r="J45" s="285">
        <f t="shared" si="7"/>
        <v>797</v>
      </c>
      <c r="K45" s="285">
        <f t="shared" si="7"/>
        <v>0</v>
      </c>
      <c r="L45" s="285">
        <f t="shared" si="7"/>
        <v>0</v>
      </c>
      <c r="M45" s="139">
        <f t="shared" si="0"/>
        <v>286323</v>
      </c>
      <c r="N45" s="139">
        <f t="shared" si="1"/>
        <v>165285.32</v>
      </c>
      <c r="O45" s="132">
        <f>D45*100/'CD Ratio_3(i)'!F45</f>
        <v>11.881427707464386</v>
      </c>
      <c r="P45" s="46">
        <v>17044.939999999999</v>
      </c>
      <c r="Q45" s="45">
        <f t="shared" si="2"/>
        <v>-15082.349999999999</v>
      </c>
      <c r="R45" s="45">
        <f t="shared" si="3"/>
        <v>-150.8235</v>
      </c>
    </row>
    <row r="46" spans="1:18" ht="13.5" customHeight="1" x14ac:dyDescent="0.15">
      <c r="A46" s="210">
        <v>37</v>
      </c>
      <c r="B46" s="142" t="s">
        <v>312</v>
      </c>
      <c r="C46" s="224">
        <v>17064</v>
      </c>
      <c r="D46" s="224">
        <v>31810</v>
      </c>
      <c r="E46" s="224">
        <v>4</v>
      </c>
      <c r="F46" s="224">
        <v>816</v>
      </c>
      <c r="G46" s="224">
        <v>9</v>
      </c>
      <c r="H46" s="224">
        <v>4966</v>
      </c>
      <c r="I46" s="224">
        <v>0</v>
      </c>
      <c r="J46" s="224">
        <v>0</v>
      </c>
      <c r="K46" s="224">
        <v>4</v>
      </c>
      <c r="L46" s="224">
        <v>163803</v>
      </c>
      <c r="M46" s="142">
        <f t="shared" si="0"/>
        <v>17081</v>
      </c>
      <c r="N46" s="142">
        <f t="shared" si="1"/>
        <v>201395</v>
      </c>
      <c r="O46" s="131">
        <f>D46*100/'CD Ratio_3(i)'!F46</f>
        <v>0.88477582016994039</v>
      </c>
      <c r="P46" s="45">
        <v>17936</v>
      </c>
      <c r="Q46" s="45">
        <f t="shared" si="2"/>
        <v>-17120</v>
      </c>
      <c r="R46" s="45">
        <f t="shared" si="3"/>
        <v>-171.2</v>
      </c>
    </row>
    <row r="47" spans="1:18" s="43" customFormat="1" ht="13.5" customHeight="1" x14ac:dyDescent="0.15">
      <c r="A47" s="269"/>
      <c r="B47" s="139" t="s">
        <v>214</v>
      </c>
      <c r="C47" s="285">
        <f>C46</f>
        <v>17064</v>
      </c>
      <c r="D47" s="285">
        <f t="shared" ref="D47:L47" si="8">D46</f>
        <v>31810</v>
      </c>
      <c r="E47" s="285">
        <f t="shared" si="8"/>
        <v>4</v>
      </c>
      <c r="F47" s="285">
        <f t="shared" si="8"/>
        <v>816</v>
      </c>
      <c r="G47" s="285">
        <f t="shared" si="8"/>
        <v>9</v>
      </c>
      <c r="H47" s="285">
        <f t="shared" si="8"/>
        <v>4966</v>
      </c>
      <c r="I47" s="285">
        <f t="shared" si="8"/>
        <v>0</v>
      </c>
      <c r="J47" s="285">
        <f t="shared" si="8"/>
        <v>0</v>
      </c>
      <c r="K47" s="285">
        <f t="shared" si="8"/>
        <v>4</v>
      </c>
      <c r="L47" s="285">
        <f t="shared" si="8"/>
        <v>163803</v>
      </c>
      <c r="M47" s="139">
        <f t="shared" si="0"/>
        <v>17081</v>
      </c>
      <c r="N47" s="139">
        <f t="shared" si="1"/>
        <v>201395</v>
      </c>
      <c r="O47" s="132">
        <f>D47*100/'CD Ratio_3(i)'!F47</f>
        <v>0.88477582016994039</v>
      </c>
      <c r="P47" s="46">
        <v>17936</v>
      </c>
      <c r="Q47" s="45">
        <f t="shared" si="2"/>
        <v>-17120</v>
      </c>
      <c r="R47" s="45">
        <f t="shared" si="3"/>
        <v>-171.2</v>
      </c>
    </row>
    <row r="48" spans="1:18" ht="13.5" customHeight="1" x14ac:dyDescent="0.15">
      <c r="A48" s="210">
        <v>38</v>
      </c>
      <c r="B48" s="142" t="s">
        <v>304</v>
      </c>
      <c r="C48" s="224">
        <v>50013</v>
      </c>
      <c r="D48" s="224">
        <v>286981.27</v>
      </c>
      <c r="E48" s="224">
        <v>4389</v>
      </c>
      <c r="F48" s="224">
        <v>38337.19</v>
      </c>
      <c r="G48" s="224">
        <v>17</v>
      </c>
      <c r="H48" s="224">
        <v>697.84</v>
      </c>
      <c r="I48" s="224">
        <v>0</v>
      </c>
      <c r="J48" s="224">
        <v>0</v>
      </c>
      <c r="K48" s="224">
        <v>0</v>
      </c>
      <c r="L48" s="224">
        <v>0</v>
      </c>
      <c r="M48" s="142">
        <f t="shared" si="0"/>
        <v>54419</v>
      </c>
      <c r="N48" s="142">
        <f t="shared" si="1"/>
        <v>326016.30000000005</v>
      </c>
      <c r="O48" s="131">
        <f>D48*100/'CD Ratio_3(i)'!F48</f>
        <v>49.550710614788159</v>
      </c>
      <c r="P48" s="45">
        <v>53761</v>
      </c>
      <c r="Q48" s="45">
        <f t="shared" si="2"/>
        <v>-15423.809999999998</v>
      </c>
      <c r="R48" s="45">
        <f t="shared" si="3"/>
        <v>-154.23809999999997</v>
      </c>
    </row>
    <row r="49" spans="1:18" ht="13.5" customHeight="1" x14ac:dyDescent="0.15">
      <c r="A49" s="210">
        <v>39</v>
      </c>
      <c r="B49" s="142" t="s">
        <v>305</v>
      </c>
      <c r="C49" s="224">
        <v>1122</v>
      </c>
      <c r="D49" s="224">
        <v>6430</v>
      </c>
      <c r="E49" s="224">
        <v>62</v>
      </c>
      <c r="F49" s="224">
        <v>3309</v>
      </c>
      <c r="G49" s="224">
        <v>2</v>
      </c>
      <c r="H49" s="224">
        <v>151</v>
      </c>
      <c r="I49" s="224">
        <v>0</v>
      </c>
      <c r="J49" s="224">
        <v>0</v>
      </c>
      <c r="K49" s="224">
        <v>0</v>
      </c>
      <c r="L49" s="224">
        <v>0</v>
      </c>
      <c r="M49" s="142">
        <f t="shared" si="0"/>
        <v>1186</v>
      </c>
      <c r="N49" s="142">
        <f t="shared" si="1"/>
        <v>9890</v>
      </c>
      <c r="O49" s="131">
        <f>D49*100/'CD Ratio_3(i)'!F49</f>
        <v>11.232422045593502</v>
      </c>
      <c r="P49" s="45">
        <v>8225</v>
      </c>
      <c r="Q49" s="45">
        <f t="shared" si="2"/>
        <v>-4916</v>
      </c>
      <c r="R49" s="45">
        <f t="shared" si="3"/>
        <v>-49.16</v>
      </c>
    </row>
    <row r="50" spans="1:18" ht="13.5" customHeight="1" x14ac:dyDescent="0.15">
      <c r="A50" s="210">
        <v>40</v>
      </c>
      <c r="B50" s="142" t="s">
        <v>383</v>
      </c>
      <c r="C50" s="224">
        <v>78320</v>
      </c>
      <c r="D50" s="224">
        <v>18120.939999999999</v>
      </c>
      <c r="E50" s="224">
        <v>0</v>
      </c>
      <c r="F50" s="224">
        <v>0</v>
      </c>
      <c r="G50" s="224">
        <v>0</v>
      </c>
      <c r="H50" s="224">
        <v>0</v>
      </c>
      <c r="I50" s="224">
        <v>0</v>
      </c>
      <c r="J50" s="224">
        <v>0</v>
      </c>
      <c r="K50" s="224">
        <v>0</v>
      </c>
      <c r="L50" s="224">
        <v>0</v>
      </c>
      <c r="M50" s="142">
        <f t="shared" si="0"/>
        <v>78320</v>
      </c>
      <c r="N50" s="142">
        <f t="shared" si="1"/>
        <v>18120.939999999999</v>
      </c>
      <c r="O50" s="131">
        <f>D50*100/'CD Ratio_3(i)'!F50</f>
        <v>43.124467367870935</v>
      </c>
      <c r="P50" s="45">
        <v>0</v>
      </c>
      <c r="Q50" s="45">
        <f t="shared" si="2"/>
        <v>0</v>
      </c>
      <c r="R50" s="45">
        <f t="shared" si="3"/>
        <v>0</v>
      </c>
    </row>
    <row r="51" spans="1:18" ht="13.5" customHeight="1" x14ac:dyDescent="0.15">
      <c r="A51" s="210">
        <v>41</v>
      </c>
      <c r="B51" s="142" t="s">
        <v>306</v>
      </c>
      <c r="C51" s="224">
        <v>43368</v>
      </c>
      <c r="D51" s="224">
        <v>5387.81</v>
      </c>
      <c r="E51" s="224">
        <v>0</v>
      </c>
      <c r="F51" s="224">
        <v>0</v>
      </c>
      <c r="G51" s="224">
        <v>0</v>
      </c>
      <c r="H51" s="224">
        <v>0</v>
      </c>
      <c r="I51" s="224">
        <v>0</v>
      </c>
      <c r="J51" s="224">
        <v>0</v>
      </c>
      <c r="K51" s="224">
        <v>0</v>
      </c>
      <c r="L51" s="224">
        <v>0</v>
      </c>
      <c r="M51" s="142">
        <f t="shared" si="0"/>
        <v>43368</v>
      </c>
      <c r="N51" s="142">
        <f t="shared" si="1"/>
        <v>5387.81</v>
      </c>
      <c r="O51" s="131">
        <f>D51*100/'CD Ratio_3(i)'!F51</f>
        <v>9.7094504866339868</v>
      </c>
      <c r="P51" s="45">
        <v>0</v>
      </c>
      <c r="Q51" s="45">
        <f t="shared" si="2"/>
        <v>0</v>
      </c>
      <c r="R51" s="45">
        <f t="shared" si="3"/>
        <v>0</v>
      </c>
    </row>
    <row r="52" spans="1:18" ht="13.5" customHeight="1" x14ac:dyDescent="0.15">
      <c r="A52" s="210">
        <v>42</v>
      </c>
      <c r="B52" s="142" t="s">
        <v>307</v>
      </c>
      <c r="C52" s="224">
        <v>2807</v>
      </c>
      <c r="D52" s="224">
        <v>3736</v>
      </c>
      <c r="E52" s="224">
        <v>9</v>
      </c>
      <c r="F52" s="224">
        <v>574</v>
      </c>
      <c r="G52" s="224">
        <v>0</v>
      </c>
      <c r="H52" s="224">
        <v>0</v>
      </c>
      <c r="I52" s="224">
        <v>0</v>
      </c>
      <c r="J52" s="224">
        <v>0</v>
      </c>
      <c r="K52" s="224">
        <v>0</v>
      </c>
      <c r="L52" s="224">
        <v>0</v>
      </c>
      <c r="M52" s="142">
        <f t="shared" si="0"/>
        <v>2816</v>
      </c>
      <c r="N52" s="142">
        <f t="shared" si="1"/>
        <v>4310</v>
      </c>
      <c r="O52" s="131">
        <f>D52*100/'CD Ratio_3(i)'!F52</f>
        <v>4.1041865779037447</v>
      </c>
      <c r="P52" s="45">
        <v>215</v>
      </c>
      <c r="Q52" s="45">
        <f t="shared" si="2"/>
        <v>359</v>
      </c>
      <c r="R52" s="45">
        <f t="shared" si="3"/>
        <v>3.59</v>
      </c>
    </row>
    <row r="53" spans="1:18" ht="13.5" customHeight="1" x14ac:dyDescent="0.15">
      <c r="A53" s="210">
        <v>43</v>
      </c>
      <c r="B53" s="142" t="s">
        <v>308</v>
      </c>
      <c r="C53" s="224">
        <v>125</v>
      </c>
      <c r="D53" s="224">
        <v>355.07</v>
      </c>
      <c r="E53" s="224">
        <v>10</v>
      </c>
      <c r="F53" s="224">
        <v>236.23</v>
      </c>
      <c r="G53" s="224">
        <v>0</v>
      </c>
      <c r="H53" s="224">
        <v>0</v>
      </c>
      <c r="I53" s="224">
        <v>0</v>
      </c>
      <c r="J53" s="224">
        <v>0</v>
      </c>
      <c r="K53" s="224">
        <v>0</v>
      </c>
      <c r="L53" s="224">
        <v>0</v>
      </c>
      <c r="M53" s="142">
        <f t="shared" si="0"/>
        <v>135</v>
      </c>
      <c r="N53" s="142">
        <f t="shared" si="1"/>
        <v>591.29999999999995</v>
      </c>
      <c r="O53" s="131">
        <f>D53*100/'CD Ratio_3(i)'!F53</f>
        <v>1.3727371699507922</v>
      </c>
      <c r="P53" s="45">
        <v>239.77</v>
      </c>
      <c r="Q53" s="45">
        <f t="shared" si="2"/>
        <v>-3.5400000000000205</v>
      </c>
      <c r="R53" s="45">
        <f t="shared" si="3"/>
        <v>-3.5400000000000202E-2</v>
      </c>
    </row>
    <row r="54" spans="1:18" ht="13.5" customHeight="1" x14ac:dyDescent="0.15">
      <c r="A54" s="210">
        <v>44</v>
      </c>
      <c r="B54" s="142" t="s">
        <v>300</v>
      </c>
      <c r="C54" s="224">
        <v>49</v>
      </c>
      <c r="D54" s="224">
        <v>728.48</v>
      </c>
      <c r="E54" s="224">
        <v>2</v>
      </c>
      <c r="F54" s="224">
        <v>143.37</v>
      </c>
      <c r="G54" s="224">
        <v>0</v>
      </c>
      <c r="H54" s="224">
        <v>0</v>
      </c>
      <c r="I54" s="224">
        <v>0</v>
      </c>
      <c r="J54" s="224">
        <v>0</v>
      </c>
      <c r="K54" s="224">
        <v>0</v>
      </c>
      <c r="L54" s="224">
        <v>0</v>
      </c>
      <c r="M54" s="142">
        <f t="shared" si="0"/>
        <v>51</v>
      </c>
      <c r="N54" s="142">
        <f t="shared" si="1"/>
        <v>871.85</v>
      </c>
      <c r="O54" s="131">
        <f>D54*100/'CD Ratio_3(i)'!F54</f>
        <v>3.5482714548458492</v>
      </c>
      <c r="P54" s="45">
        <v>106.44</v>
      </c>
      <c r="Q54" s="45">
        <f t="shared" si="2"/>
        <v>36.930000000000007</v>
      </c>
      <c r="R54" s="45">
        <f t="shared" si="3"/>
        <v>0.36930000000000007</v>
      </c>
    </row>
    <row r="55" spans="1:18" ht="13.5" customHeight="1" x14ac:dyDescent="0.15">
      <c r="A55" s="210">
        <v>45</v>
      </c>
      <c r="B55" s="142" t="s">
        <v>309</v>
      </c>
      <c r="C55" s="224">
        <v>8</v>
      </c>
      <c r="D55" s="224">
        <v>130</v>
      </c>
      <c r="E55" s="224">
        <v>0</v>
      </c>
      <c r="F55" s="224">
        <v>0</v>
      </c>
      <c r="G55" s="224">
        <v>0</v>
      </c>
      <c r="H55" s="224">
        <v>0</v>
      </c>
      <c r="I55" s="224">
        <v>0</v>
      </c>
      <c r="J55" s="224">
        <v>0</v>
      </c>
      <c r="K55" s="224">
        <v>0</v>
      </c>
      <c r="L55" s="224">
        <v>0</v>
      </c>
      <c r="M55" s="142">
        <f t="shared" si="0"/>
        <v>8</v>
      </c>
      <c r="N55" s="142">
        <f t="shared" si="1"/>
        <v>130</v>
      </c>
      <c r="O55" s="131">
        <f>D55*100/'CD Ratio_3(i)'!F55</f>
        <v>0.42154414864295209</v>
      </c>
      <c r="P55" s="45">
        <v>0</v>
      </c>
      <c r="Q55" s="45">
        <f t="shared" si="2"/>
        <v>0</v>
      </c>
      <c r="R55" s="45">
        <f t="shared" si="3"/>
        <v>0</v>
      </c>
    </row>
    <row r="56" spans="1:18" s="43" customFormat="1" ht="13.5" customHeight="1" x14ac:dyDescent="0.15">
      <c r="A56" s="269"/>
      <c r="B56" s="139" t="s">
        <v>310</v>
      </c>
      <c r="C56" s="285">
        <f>SUM(C48:C55)</f>
        <v>175812</v>
      </c>
      <c r="D56" s="285">
        <f t="shared" ref="D56:L56" si="9">SUM(D48:D55)</f>
        <v>321869.57</v>
      </c>
      <c r="E56" s="285">
        <f t="shared" si="9"/>
        <v>4472</v>
      </c>
      <c r="F56" s="285">
        <f t="shared" si="9"/>
        <v>42599.790000000008</v>
      </c>
      <c r="G56" s="285">
        <f t="shared" si="9"/>
        <v>19</v>
      </c>
      <c r="H56" s="285">
        <f t="shared" si="9"/>
        <v>848.84</v>
      </c>
      <c r="I56" s="285">
        <f t="shared" si="9"/>
        <v>0</v>
      </c>
      <c r="J56" s="285">
        <f t="shared" si="9"/>
        <v>0</v>
      </c>
      <c r="K56" s="285">
        <f t="shared" si="9"/>
        <v>0</v>
      </c>
      <c r="L56" s="285">
        <f t="shared" si="9"/>
        <v>0</v>
      </c>
      <c r="M56" s="139">
        <f t="shared" si="0"/>
        <v>180303</v>
      </c>
      <c r="N56" s="139">
        <f t="shared" si="1"/>
        <v>365318.2</v>
      </c>
      <c r="O56" s="132">
        <f>D56*100/'CD Ratio_3(i)'!F56</f>
        <v>35.676604488071185</v>
      </c>
      <c r="P56" s="46">
        <v>62547.21</v>
      </c>
      <c r="Q56" s="45">
        <f t="shared" si="2"/>
        <v>-19947.419999999991</v>
      </c>
      <c r="R56" s="45">
        <f t="shared" si="3"/>
        <v>-199.47419999999991</v>
      </c>
    </row>
    <row r="57" spans="1:18" s="43" customFormat="1" ht="13.5" customHeight="1" x14ac:dyDescent="0.15">
      <c r="A57" s="269"/>
      <c r="B57" s="139" t="s">
        <v>0</v>
      </c>
      <c r="C57" s="285">
        <f>C56+C47+C45+C42</f>
        <v>2143884</v>
      </c>
      <c r="D57" s="285">
        <f t="shared" ref="D57:L57" si="10">D56+D47+D45+D42</f>
        <v>3332776.33</v>
      </c>
      <c r="E57" s="285">
        <f t="shared" si="10"/>
        <v>74722</v>
      </c>
      <c r="F57" s="285">
        <f t="shared" si="10"/>
        <v>2053080.92</v>
      </c>
      <c r="G57" s="285">
        <f t="shared" si="10"/>
        <v>7256</v>
      </c>
      <c r="H57" s="285">
        <f t="shared" si="10"/>
        <v>710699.9</v>
      </c>
      <c r="I57" s="285">
        <f t="shared" si="10"/>
        <v>7537</v>
      </c>
      <c r="J57" s="285">
        <f t="shared" si="10"/>
        <v>27542.740000000005</v>
      </c>
      <c r="K57" s="285">
        <f t="shared" si="10"/>
        <v>28482</v>
      </c>
      <c r="L57" s="285">
        <f t="shared" si="10"/>
        <v>248449.59</v>
      </c>
      <c r="M57" s="139">
        <f t="shared" si="0"/>
        <v>2261881</v>
      </c>
      <c r="N57" s="139">
        <f t="shared" si="1"/>
        <v>6372549.4800000004</v>
      </c>
      <c r="O57" s="132">
        <f>D57*100/'CD Ratio_3(i)'!F59</f>
        <v>9.3757516807914065</v>
      </c>
      <c r="P57" s="46">
        <v>2147941.33</v>
      </c>
      <c r="Q57" s="45">
        <f t="shared" si="2"/>
        <v>-94860.410000000149</v>
      </c>
      <c r="R57" s="45">
        <f t="shared" si="3"/>
        <v>-948.60410000000149</v>
      </c>
    </row>
    <row r="58" spans="1:18" x14ac:dyDescent="0.2">
      <c r="F58" s="45" t="s">
        <v>1073</v>
      </c>
    </row>
  </sheetData>
  <autoFilter ref="C5:N48" xr:uid="{00000000-0009-0000-0000-000005000000}"/>
  <mergeCells count="11">
    <mergeCell ref="A1:O1"/>
    <mergeCell ref="O3:O5"/>
    <mergeCell ref="A3:A5"/>
    <mergeCell ref="B3:B5"/>
    <mergeCell ref="C3:N3"/>
    <mergeCell ref="C4:D4"/>
    <mergeCell ref="E4:F4"/>
    <mergeCell ref="G4:H4"/>
    <mergeCell ref="I4:J4"/>
    <mergeCell ref="K4:L4"/>
    <mergeCell ref="M4:N4"/>
  </mergeCells>
  <pageMargins left="0.45" right="0" top="0.5" bottom="0.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R62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60" sqref="E60"/>
    </sheetView>
  </sheetViews>
  <sheetFormatPr baseColWidth="10" defaultColWidth="4.3984375" defaultRowHeight="14" x14ac:dyDescent="0.2"/>
  <cols>
    <col min="1" max="1" width="4.59765625" style="36" bestFit="1" customWidth="1"/>
    <col min="2" max="2" width="34.3984375" style="36" customWidth="1"/>
    <col min="3" max="3" width="6.59765625" style="45" customWidth="1"/>
    <col min="4" max="4" width="8.3984375" style="45" customWidth="1"/>
    <col min="5" max="5" width="8.59765625" style="45" customWidth="1"/>
    <col min="6" max="6" width="8.19921875" style="45" customWidth="1"/>
    <col min="7" max="7" width="10.19921875" style="45" customWidth="1"/>
    <col min="8" max="8" width="9.19921875" style="45" customWidth="1"/>
    <col min="9" max="9" width="7" style="45" bestFit="1" customWidth="1"/>
    <col min="10" max="10" width="8.19921875" style="45" bestFit="1" customWidth="1"/>
    <col min="11" max="11" width="7.3984375" style="45" customWidth="1"/>
    <col min="12" max="12" width="7.796875" style="45" bestFit="1" customWidth="1"/>
    <col min="13" max="13" width="8.796875" style="45" customWidth="1"/>
    <col min="14" max="15" width="9.59765625" style="45" customWidth="1"/>
    <col min="16" max="16" width="9.3984375" style="45" customWidth="1"/>
    <col min="17" max="17" width="10" style="44" customWidth="1"/>
    <col min="18" max="18" width="13.19921875" style="44" customWidth="1"/>
    <col min="19" max="19" width="11.796875" style="36" customWidth="1"/>
    <col min="20" max="16384" width="4.3984375" style="36"/>
  </cols>
  <sheetData>
    <row r="1" spans="1:17" ht="18" x14ac:dyDescent="0.2">
      <c r="A1" s="403" t="s">
        <v>1046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7" x14ac:dyDescent="0.2">
      <c r="B2" s="43" t="s">
        <v>124</v>
      </c>
      <c r="K2" s="45" t="s">
        <v>132</v>
      </c>
      <c r="N2" s="46" t="s">
        <v>131</v>
      </c>
    </row>
    <row r="3" spans="1:17" ht="35" customHeight="1" x14ac:dyDescent="0.2">
      <c r="A3" s="414" t="s">
        <v>110</v>
      </c>
      <c r="B3" s="414" t="s">
        <v>94</v>
      </c>
      <c r="C3" s="412" t="s">
        <v>1045</v>
      </c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3"/>
      <c r="Q3" s="411" t="s">
        <v>142</v>
      </c>
    </row>
    <row r="4" spans="1:17" ht="25" customHeight="1" x14ac:dyDescent="0.2">
      <c r="A4" s="415"/>
      <c r="B4" s="415"/>
      <c r="C4" s="412" t="s">
        <v>125</v>
      </c>
      <c r="D4" s="413"/>
      <c r="E4" s="412" t="s">
        <v>126</v>
      </c>
      <c r="F4" s="413"/>
      <c r="G4" s="412" t="s">
        <v>127</v>
      </c>
      <c r="H4" s="413"/>
      <c r="I4" s="412" t="s">
        <v>128</v>
      </c>
      <c r="J4" s="413"/>
      <c r="K4" s="412" t="s">
        <v>129</v>
      </c>
      <c r="L4" s="413"/>
      <c r="M4" s="412" t="s">
        <v>121</v>
      </c>
      <c r="N4" s="413"/>
      <c r="O4" s="412" t="s">
        <v>130</v>
      </c>
      <c r="P4" s="413"/>
      <c r="Q4" s="411"/>
    </row>
    <row r="5" spans="1:17" ht="15" customHeight="1" x14ac:dyDescent="0.2">
      <c r="A5" s="416"/>
      <c r="B5" s="416"/>
      <c r="C5" s="268" t="s">
        <v>198</v>
      </c>
      <c r="D5" s="268" t="s">
        <v>197</v>
      </c>
      <c r="E5" s="268" t="s">
        <v>198</v>
      </c>
      <c r="F5" s="268" t="s">
        <v>197</v>
      </c>
      <c r="G5" s="268" t="s">
        <v>198</v>
      </c>
      <c r="H5" s="268" t="s">
        <v>197</v>
      </c>
      <c r="I5" s="268" t="s">
        <v>198</v>
      </c>
      <c r="J5" s="268" t="s">
        <v>197</v>
      </c>
      <c r="K5" s="268" t="s">
        <v>198</v>
      </c>
      <c r="L5" s="268" t="s">
        <v>197</v>
      </c>
      <c r="M5" s="268" t="s">
        <v>198</v>
      </c>
      <c r="N5" s="268" t="s">
        <v>197</v>
      </c>
      <c r="O5" s="268" t="s">
        <v>198</v>
      </c>
      <c r="P5" s="268" t="s">
        <v>197</v>
      </c>
      <c r="Q5" s="411"/>
    </row>
    <row r="6" spans="1:17" ht="14" customHeight="1" x14ac:dyDescent="0.15">
      <c r="A6" s="105">
        <v>1</v>
      </c>
      <c r="B6" s="40" t="s">
        <v>51</v>
      </c>
      <c r="C6" s="286">
        <v>24</v>
      </c>
      <c r="D6" s="286">
        <v>14314</v>
      </c>
      <c r="E6" s="286">
        <v>3612</v>
      </c>
      <c r="F6" s="286">
        <v>15011</v>
      </c>
      <c r="G6" s="286">
        <v>40527</v>
      </c>
      <c r="H6" s="286">
        <v>252709</v>
      </c>
      <c r="I6" s="286">
        <v>339</v>
      </c>
      <c r="J6" s="286">
        <v>1453</v>
      </c>
      <c r="K6" s="286">
        <v>13</v>
      </c>
      <c r="L6" s="286">
        <v>339</v>
      </c>
      <c r="M6" s="286">
        <v>8314</v>
      </c>
      <c r="N6" s="286">
        <v>12547</v>
      </c>
      <c r="O6" s="40">
        <f>M6+K6+I6+G6+E6+C6+MSMEoutstanding_5!M6+OutstandingAgri_4!K6</f>
        <v>228790</v>
      </c>
      <c r="P6" s="40">
        <f>N6+L6+J6+H6+F6+D6+MSMEoutstanding_5!N6+OutstandingAgri_4!L6</f>
        <v>1094997</v>
      </c>
      <c r="Q6" s="41">
        <f>P6*100/'CD Ratio_3(i)'!F6</f>
        <v>71.364878216642211</v>
      </c>
    </row>
    <row r="7" spans="1:17" ht="14" customHeight="1" x14ac:dyDescent="0.15">
      <c r="A7" s="105">
        <v>2</v>
      </c>
      <c r="B7" s="40" t="s">
        <v>52</v>
      </c>
      <c r="C7" s="286">
        <v>0</v>
      </c>
      <c r="D7" s="286">
        <v>0</v>
      </c>
      <c r="E7" s="286">
        <v>7183</v>
      </c>
      <c r="F7" s="286">
        <v>15699.46</v>
      </c>
      <c r="G7" s="286">
        <v>65704</v>
      </c>
      <c r="H7" s="286">
        <v>149818.99</v>
      </c>
      <c r="I7" s="286">
        <v>46</v>
      </c>
      <c r="J7" s="286">
        <v>860.11</v>
      </c>
      <c r="K7" s="286">
        <v>0</v>
      </c>
      <c r="L7" s="286">
        <v>0</v>
      </c>
      <c r="M7" s="286">
        <v>17</v>
      </c>
      <c r="N7" s="286">
        <v>8.52</v>
      </c>
      <c r="O7" s="40">
        <f>M7+K7+I7+G7+E7+C7+MSMEoutstanding_5!M7+OutstandingAgri_4!K7</f>
        <v>756847</v>
      </c>
      <c r="P7" s="40">
        <f>N7+L7+J7+H7+F7+D7+MSMEoutstanding_5!N7+OutstandingAgri_4!L7</f>
        <v>1607897.71</v>
      </c>
      <c r="Q7" s="41">
        <f>P7*100/'CD Ratio_3(i)'!F7</f>
        <v>61.277780551375045</v>
      </c>
    </row>
    <row r="8" spans="1:17" ht="14" customHeight="1" x14ac:dyDescent="0.15">
      <c r="A8" s="105">
        <v>3</v>
      </c>
      <c r="B8" s="40" t="s">
        <v>53</v>
      </c>
      <c r="C8" s="286">
        <v>0</v>
      </c>
      <c r="D8" s="286">
        <v>0</v>
      </c>
      <c r="E8" s="286">
        <v>848</v>
      </c>
      <c r="F8" s="286">
        <v>1911.7</v>
      </c>
      <c r="G8" s="286">
        <v>18287</v>
      </c>
      <c r="H8" s="286">
        <v>41247.879999999997</v>
      </c>
      <c r="I8" s="286">
        <v>0</v>
      </c>
      <c r="J8" s="286">
        <v>0</v>
      </c>
      <c r="K8" s="286">
        <v>1</v>
      </c>
      <c r="L8" s="286">
        <v>10.57</v>
      </c>
      <c r="M8" s="286">
        <v>83356</v>
      </c>
      <c r="N8" s="286">
        <v>60914.2</v>
      </c>
      <c r="O8" s="40">
        <f>M8+K8+I8+G8+E8+C8+MSMEoutstanding_5!M8+OutstandingAgri_4!K8</f>
        <v>175854</v>
      </c>
      <c r="P8" s="40">
        <f>N8+L8+J8+H8+F8+D8+MSMEoutstanding_5!N8+OutstandingAgri_4!L8</f>
        <v>332546.32999999996</v>
      </c>
      <c r="Q8" s="41">
        <f>P8*100/'CD Ratio_3(i)'!F8</f>
        <v>61.197888976179577</v>
      </c>
    </row>
    <row r="9" spans="1:17" ht="14" customHeight="1" x14ac:dyDescent="0.15">
      <c r="A9" s="105">
        <v>4</v>
      </c>
      <c r="B9" s="40" t="s">
        <v>54</v>
      </c>
      <c r="C9" s="286">
        <v>0</v>
      </c>
      <c r="D9" s="286">
        <v>0</v>
      </c>
      <c r="E9" s="286">
        <v>5634</v>
      </c>
      <c r="F9" s="286">
        <v>15745.27</v>
      </c>
      <c r="G9" s="286">
        <v>21367</v>
      </c>
      <c r="H9" s="286">
        <v>166128.43</v>
      </c>
      <c r="I9" s="286">
        <v>6</v>
      </c>
      <c r="J9" s="286">
        <v>57.4</v>
      </c>
      <c r="K9" s="286">
        <v>0</v>
      </c>
      <c r="L9" s="286">
        <v>0</v>
      </c>
      <c r="M9" s="286">
        <v>139</v>
      </c>
      <c r="N9" s="286">
        <v>172.94</v>
      </c>
      <c r="O9" s="40">
        <f>M9+K9+I9+G9+E9+C9+MSMEoutstanding_5!M9+OutstandingAgri_4!K9</f>
        <v>229702</v>
      </c>
      <c r="P9" s="40">
        <f>N9+L9+J9+H9+F9+D9+MSMEoutstanding_5!N9+OutstandingAgri_4!L9</f>
        <v>678279.14</v>
      </c>
      <c r="Q9" s="41">
        <f>P9*100/'CD Ratio_3(i)'!F9</f>
        <v>43.696874420996998</v>
      </c>
    </row>
    <row r="10" spans="1:17" ht="14" customHeight="1" x14ac:dyDescent="0.15">
      <c r="A10" s="105">
        <v>5</v>
      </c>
      <c r="B10" s="40" t="s">
        <v>55</v>
      </c>
      <c r="C10" s="286">
        <v>0</v>
      </c>
      <c r="D10" s="286">
        <v>0</v>
      </c>
      <c r="E10" s="286">
        <v>7662</v>
      </c>
      <c r="F10" s="286">
        <v>23245</v>
      </c>
      <c r="G10" s="286">
        <v>99138</v>
      </c>
      <c r="H10" s="286">
        <v>154504</v>
      </c>
      <c r="I10" s="286">
        <v>37</v>
      </c>
      <c r="J10" s="286">
        <v>1217</v>
      </c>
      <c r="K10" s="286">
        <v>4</v>
      </c>
      <c r="L10" s="286">
        <v>10</v>
      </c>
      <c r="M10" s="286">
        <v>543</v>
      </c>
      <c r="N10" s="286">
        <v>113</v>
      </c>
      <c r="O10" s="40">
        <f>M10+K10+I10+G10+E10+C10+MSMEoutstanding_5!M10+OutstandingAgri_4!K10</f>
        <v>594857</v>
      </c>
      <c r="P10" s="40">
        <f>N10+L10+J10+H10+F10+D10+MSMEoutstanding_5!N10+OutstandingAgri_4!L10</f>
        <v>1084675</v>
      </c>
      <c r="Q10" s="41">
        <f>P10*100/'CD Ratio_3(i)'!F10</f>
        <v>75.252326930228165</v>
      </c>
    </row>
    <row r="11" spans="1:17" ht="14" customHeight="1" x14ac:dyDescent="0.15">
      <c r="A11" s="105">
        <v>6</v>
      </c>
      <c r="B11" s="40" t="s">
        <v>56</v>
      </c>
      <c r="C11" s="286">
        <v>0</v>
      </c>
      <c r="D11" s="286">
        <v>0</v>
      </c>
      <c r="E11" s="286">
        <v>1790</v>
      </c>
      <c r="F11" s="286">
        <v>7760</v>
      </c>
      <c r="G11" s="286">
        <v>23615</v>
      </c>
      <c r="H11" s="286">
        <v>73168</v>
      </c>
      <c r="I11" s="286">
        <v>0</v>
      </c>
      <c r="J11" s="286">
        <v>0</v>
      </c>
      <c r="K11" s="286">
        <v>2</v>
      </c>
      <c r="L11" s="286">
        <v>103</v>
      </c>
      <c r="M11" s="286">
        <v>0</v>
      </c>
      <c r="N11" s="286">
        <v>0</v>
      </c>
      <c r="O11" s="40">
        <f>M11+K11+I11+G11+E11+C11+MSMEoutstanding_5!M11+OutstandingAgri_4!K11</f>
        <v>176919</v>
      </c>
      <c r="P11" s="40">
        <f>N11+L11+J11+H11+F11+D11+MSMEoutstanding_5!N11+OutstandingAgri_4!L11</f>
        <v>484649</v>
      </c>
      <c r="Q11" s="41">
        <f>P11*100/'CD Ratio_3(i)'!F11</f>
        <v>44.429379463344425</v>
      </c>
    </row>
    <row r="12" spans="1:17" ht="14" customHeight="1" x14ac:dyDescent="0.15">
      <c r="A12" s="105">
        <v>7</v>
      </c>
      <c r="B12" s="40" t="s">
        <v>57</v>
      </c>
      <c r="C12" s="286">
        <v>0</v>
      </c>
      <c r="D12" s="286">
        <v>0</v>
      </c>
      <c r="E12" s="286">
        <v>318</v>
      </c>
      <c r="F12" s="286">
        <v>1064</v>
      </c>
      <c r="G12" s="286">
        <v>4543</v>
      </c>
      <c r="H12" s="286">
        <v>26119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40">
        <f>M12+K12+I12+G12+E12+C12+MSMEoutstanding_5!M12+OutstandingAgri_4!K12</f>
        <v>19602</v>
      </c>
      <c r="P12" s="40">
        <f>N12+L12+J12+H12+F12+D12+MSMEoutstanding_5!N12+OutstandingAgri_4!L12</f>
        <v>70213</v>
      </c>
      <c r="Q12" s="41">
        <f>P12*100/'CD Ratio_3(i)'!F12</f>
        <v>65.607976153767083</v>
      </c>
    </row>
    <row r="13" spans="1:17" ht="14" customHeight="1" x14ac:dyDescent="0.15">
      <c r="A13" s="105">
        <v>8</v>
      </c>
      <c r="B13" s="40" t="s">
        <v>178</v>
      </c>
      <c r="C13" s="286">
        <v>0</v>
      </c>
      <c r="D13" s="286">
        <v>0</v>
      </c>
      <c r="E13" s="286">
        <v>146</v>
      </c>
      <c r="F13" s="286">
        <v>480</v>
      </c>
      <c r="G13" s="286">
        <v>1336</v>
      </c>
      <c r="H13" s="286">
        <v>10654</v>
      </c>
      <c r="I13" s="286">
        <v>10</v>
      </c>
      <c r="J13" s="286">
        <v>139</v>
      </c>
      <c r="K13" s="286">
        <v>0</v>
      </c>
      <c r="L13" s="286">
        <v>0</v>
      </c>
      <c r="M13" s="286">
        <v>210</v>
      </c>
      <c r="N13" s="286">
        <v>638</v>
      </c>
      <c r="O13" s="40">
        <f>M13+K13+I13+G13+E13+C13+MSMEoutstanding_5!M13+OutstandingAgri_4!K13</f>
        <v>17369</v>
      </c>
      <c r="P13" s="40">
        <f>N13+L13+J13+H13+F13+D13+MSMEoutstanding_5!N13+OutstandingAgri_4!L13</f>
        <v>66570</v>
      </c>
      <c r="Q13" s="41">
        <f>P13*100/'CD Ratio_3(i)'!F13</f>
        <v>69.976453769499216</v>
      </c>
    </row>
    <row r="14" spans="1:17" ht="14" customHeight="1" x14ac:dyDescent="0.15">
      <c r="A14" s="105">
        <v>9</v>
      </c>
      <c r="B14" s="40" t="s">
        <v>58</v>
      </c>
      <c r="C14" s="286">
        <v>1</v>
      </c>
      <c r="D14" s="286">
        <v>1</v>
      </c>
      <c r="E14" s="286">
        <v>7226</v>
      </c>
      <c r="F14" s="286">
        <v>28600</v>
      </c>
      <c r="G14" s="286">
        <v>52681</v>
      </c>
      <c r="H14" s="286">
        <v>138904.98000000001</v>
      </c>
      <c r="I14" s="286">
        <v>6</v>
      </c>
      <c r="J14" s="286">
        <v>70.290000000000006</v>
      </c>
      <c r="K14" s="286">
        <v>29</v>
      </c>
      <c r="L14" s="286">
        <v>610.21</v>
      </c>
      <c r="M14" s="286">
        <v>0</v>
      </c>
      <c r="N14" s="286">
        <v>0</v>
      </c>
      <c r="O14" s="40">
        <f>M14+K14+I14+G14+E14+C14+MSMEoutstanding_5!M14+OutstandingAgri_4!K14</f>
        <v>369936</v>
      </c>
      <c r="P14" s="40">
        <f>N14+L14+J14+H14+F14+D14+MSMEoutstanding_5!N14+OutstandingAgri_4!L14</f>
        <v>1067632.5900000001</v>
      </c>
      <c r="Q14" s="41">
        <f>P14*100/'CD Ratio_3(i)'!F14</f>
        <v>42.844066964083282</v>
      </c>
    </row>
    <row r="15" spans="1:17" ht="14" customHeight="1" x14ac:dyDescent="0.15">
      <c r="A15" s="105">
        <v>10</v>
      </c>
      <c r="B15" s="40" t="s">
        <v>64</v>
      </c>
      <c r="C15" s="286">
        <v>0</v>
      </c>
      <c r="D15" s="286">
        <v>0</v>
      </c>
      <c r="E15" s="286">
        <v>20799</v>
      </c>
      <c r="F15" s="286">
        <v>75651</v>
      </c>
      <c r="G15" s="286">
        <v>191611</v>
      </c>
      <c r="H15" s="286">
        <v>817720</v>
      </c>
      <c r="I15" s="286">
        <v>120</v>
      </c>
      <c r="J15" s="286">
        <v>1584</v>
      </c>
      <c r="K15" s="286">
        <v>17</v>
      </c>
      <c r="L15" s="286">
        <v>3873</v>
      </c>
      <c r="M15" s="286">
        <v>0</v>
      </c>
      <c r="N15" s="286">
        <v>0</v>
      </c>
      <c r="O15" s="40">
        <f>M15+K15+I15+G15+E15+C15+MSMEoutstanding_5!M15+OutstandingAgri_4!K15</f>
        <v>917511</v>
      </c>
      <c r="P15" s="40">
        <f>N15+L15+J15+H15+F15+D15+MSMEoutstanding_5!N15+OutstandingAgri_4!L15</f>
        <v>3051224</v>
      </c>
      <c r="Q15" s="41">
        <f>P15*100/'CD Ratio_3(i)'!F15</f>
        <v>42.90128633950944</v>
      </c>
    </row>
    <row r="16" spans="1:17" ht="14" customHeight="1" x14ac:dyDescent="0.15">
      <c r="A16" s="105">
        <v>11</v>
      </c>
      <c r="B16" s="40" t="s">
        <v>179</v>
      </c>
      <c r="C16" s="290">
        <v>0</v>
      </c>
      <c r="D16" s="290">
        <v>0</v>
      </c>
      <c r="E16" s="290">
        <v>1613</v>
      </c>
      <c r="F16" s="290">
        <v>4527</v>
      </c>
      <c r="G16" s="290">
        <v>6409</v>
      </c>
      <c r="H16" s="290">
        <v>55600</v>
      </c>
      <c r="I16" s="290">
        <v>0</v>
      </c>
      <c r="J16" s="290">
        <v>0</v>
      </c>
      <c r="K16" s="290">
        <v>0</v>
      </c>
      <c r="L16" s="290">
        <v>0</v>
      </c>
      <c r="M16" s="290">
        <v>0</v>
      </c>
      <c r="N16" s="290">
        <v>0</v>
      </c>
      <c r="O16" s="40">
        <f>M16+K16+I16+G16+E16+C16+MSMEoutstanding_5!M16+OutstandingAgri_4!K16</f>
        <v>112089</v>
      </c>
      <c r="P16" s="40">
        <f>N16+L16+J16+H16+F16+D16+MSMEoutstanding_5!N16+OutstandingAgri_4!L16</f>
        <v>479774</v>
      </c>
      <c r="Q16" s="41">
        <f>P16*100/'CD Ratio_3(i)'!F16</f>
        <v>80.758749198344333</v>
      </c>
    </row>
    <row r="17" spans="1:18" ht="14" customHeight="1" x14ac:dyDescent="0.15">
      <c r="A17" s="105">
        <v>12</v>
      </c>
      <c r="B17" s="40" t="s">
        <v>60</v>
      </c>
      <c r="C17" s="286">
        <v>0</v>
      </c>
      <c r="D17" s="286">
        <v>0</v>
      </c>
      <c r="E17" s="286">
        <v>3745</v>
      </c>
      <c r="F17" s="286">
        <v>10036</v>
      </c>
      <c r="G17" s="286">
        <v>39802</v>
      </c>
      <c r="H17" s="286">
        <v>115880</v>
      </c>
      <c r="I17" s="286">
        <v>23</v>
      </c>
      <c r="J17" s="286">
        <v>68</v>
      </c>
      <c r="K17" s="286">
        <v>2</v>
      </c>
      <c r="L17" s="286">
        <v>423</v>
      </c>
      <c r="M17" s="286">
        <v>3023</v>
      </c>
      <c r="N17" s="286">
        <v>46</v>
      </c>
      <c r="O17" s="40">
        <f>M17+K17+I17+G17+E17+C17+MSMEoutstanding_5!M17+OutstandingAgri_4!K17</f>
        <v>332085</v>
      </c>
      <c r="P17" s="40">
        <f>N17+L17+J17+H17+F17+D17+MSMEoutstanding_5!N17+OutstandingAgri_4!L17</f>
        <v>1030923</v>
      </c>
      <c r="Q17" s="41">
        <f>P17*100/'CD Ratio_3(i)'!F17</f>
        <v>63.639893526394935</v>
      </c>
    </row>
    <row r="18" spans="1:18" s="43" customFormat="1" ht="14" customHeight="1" x14ac:dyDescent="0.15">
      <c r="A18" s="268"/>
      <c r="B18" s="42" t="s">
        <v>215</v>
      </c>
      <c r="C18" s="287">
        <f>SUM(C6:C17)</f>
        <v>25</v>
      </c>
      <c r="D18" s="287">
        <f t="shared" ref="D18:N18" si="0">SUM(D6:D17)</f>
        <v>14315</v>
      </c>
      <c r="E18" s="287">
        <f t="shared" si="0"/>
        <v>60576</v>
      </c>
      <c r="F18" s="287">
        <f t="shared" si="0"/>
        <v>199730.43</v>
      </c>
      <c r="G18" s="287">
        <f t="shared" si="0"/>
        <v>565020</v>
      </c>
      <c r="H18" s="287">
        <f t="shared" si="0"/>
        <v>2002454.28</v>
      </c>
      <c r="I18" s="287">
        <f t="shared" si="0"/>
        <v>587</v>
      </c>
      <c r="J18" s="287">
        <f t="shared" si="0"/>
        <v>5448.8</v>
      </c>
      <c r="K18" s="287">
        <f t="shared" si="0"/>
        <v>68</v>
      </c>
      <c r="L18" s="287">
        <f t="shared" si="0"/>
        <v>5368.78</v>
      </c>
      <c r="M18" s="287">
        <f t="shared" si="0"/>
        <v>95602</v>
      </c>
      <c r="N18" s="287">
        <f t="shared" si="0"/>
        <v>74439.66</v>
      </c>
      <c r="O18" s="42">
        <f>M18+K18+I18+G18+E18+C18+MSMEoutstanding_5!M18+OutstandingAgri_4!K18</f>
        <v>3931561</v>
      </c>
      <c r="P18" s="42">
        <f>N18+L18+J18+H18+F18+D18+MSMEoutstanding_5!N18+OutstandingAgri_4!L18</f>
        <v>11049380.770000001</v>
      </c>
      <c r="Q18" s="39">
        <f>P18*100/'CD Ratio_3(i)'!F18</f>
        <v>53.105618147678648</v>
      </c>
      <c r="R18" s="44"/>
    </row>
    <row r="19" spans="1:18" ht="14" customHeight="1" x14ac:dyDescent="0.15">
      <c r="A19" s="105">
        <v>13</v>
      </c>
      <c r="B19" s="40" t="s">
        <v>41</v>
      </c>
      <c r="C19" s="290">
        <v>14</v>
      </c>
      <c r="D19" s="290">
        <v>10903.44</v>
      </c>
      <c r="E19" s="290">
        <v>833</v>
      </c>
      <c r="F19" s="290">
        <v>6370.3</v>
      </c>
      <c r="G19" s="290">
        <v>5002</v>
      </c>
      <c r="H19" s="290">
        <v>39611.910000000003</v>
      </c>
      <c r="I19" s="290">
        <v>0</v>
      </c>
      <c r="J19" s="290">
        <v>0</v>
      </c>
      <c r="K19" s="290">
        <v>0</v>
      </c>
      <c r="L19" s="290">
        <v>0</v>
      </c>
      <c r="M19" s="290">
        <v>83241</v>
      </c>
      <c r="N19" s="290">
        <v>12943.9</v>
      </c>
      <c r="O19" s="40">
        <f>M19+K19+I19+G19+E19+C19+MSMEoutstanding_5!M19+OutstandingAgri_4!K19</f>
        <v>186288</v>
      </c>
      <c r="P19" s="40">
        <f>N19+L19+J19+H19+F19+D19+MSMEoutstanding_5!N19+OutstandingAgri_4!L19</f>
        <v>675779.23</v>
      </c>
      <c r="Q19" s="41">
        <f>P19*100/'CD Ratio_3(i)'!F19</f>
        <v>56.599210556614906</v>
      </c>
    </row>
    <row r="20" spans="1:18" ht="14" customHeight="1" x14ac:dyDescent="0.15">
      <c r="A20" s="105">
        <v>14</v>
      </c>
      <c r="B20" s="40" t="s">
        <v>180</v>
      </c>
      <c r="C20" s="286">
        <v>0</v>
      </c>
      <c r="D20" s="286">
        <v>0</v>
      </c>
      <c r="E20" s="286">
        <v>0</v>
      </c>
      <c r="F20" s="286">
        <v>0</v>
      </c>
      <c r="G20" s="286">
        <v>41914</v>
      </c>
      <c r="H20" s="286">
        <v>282961.39</v>
      </c>
      <c r="I20" s="286">
        <v>0</v>
      </c>
      <c r="J20" s="286">
        <v>0</v>
      </c>
      <c r="K20" s="286">
        <v>0</v>
      </c>
      <c r="L20" s="286">
        <v>0</v>
      </c>
      <c r="M20" s="286">
        <v>1806</v>
      </c>
      <c r="N20" s="286">
        <v>6551.75</v>
      </c>
      <c r="O20" s="40">
        <f>M20+K20+I20+G20+E20+C20+MSMEoutstanding_5!M20+OutstandingAgri_4!K20</f>
        <v>685157</v>
      </c>
      <c r="P20" s="40">
        <f>N20+L20+J20+H20+F20+D20+MSMEoutstanding_5!N20+OutstandingAgri_4!L20</f>
        <v>527951.39999999991</v>
      </c>
      <c r="Q20" s="41">
        <f>P20*100/'CD Ratio_3(i)'!F20</f>
        <v>82.123209811715043</v>
      </c>
    </row>
    <row r="21" spans="1:18" ht="14" customHeight="1" x14ac:dyDescent="0.15">
      <c r="A21" s="105">
        <v>15</v>
      </c>
      <c r="B21" s="40" t="s">
        <v>181</v>
      </c>
      <c r="C21" s="286">
        <v>0</v>
      </c>
      <c r="D21" s="286">
        <v>0</v>
      </c>
      <c r="E21" s="286">
        <v>0</v>
      </c>
      <c r="F21" s="286">
        <v>0</v>
      </c>
      <c r="G21" s="286">
        <v>10</v>
      </c>
      <c r="H21" s="286">
        <v>70.38</v>
      </c>
      <c r="I21" s="286">
        <v>0</v>
      </c>
      <c r="J21" s="286">
        <v>0</v>
      </c>
      <c r="K21" s="286">
        <v>0</v>
      </c>
      <c r="L21" s="286">
        <v>0</v>
      </c>
      <c r="M21" s="286">
        <v>36</v>
      </c>
      <c r="N21" s="286">
        <v>106</v>
      </c>
      <c r="O21" s="40">
        <f>M21+K21+I21+G21+E21+C21+MSMEoutstanding_5!M21+OutstandingAgri_4!K21</f>
        <v>100</v>
      </c>
      <c r="P21" s="40">
        <f>N21+L21+J21+H21+F21+D21+MSMEoutstanding_5!N21+OutstandingAgri_4!L21</f>
        <v>330.38</v>
      </c>
      <c r="Q21" s="41">
        <f>P21*100/'CD Ratio_3(i)'!F21</f>
        <v>17.582756785524214</v>
      </c>
    </row>
    <row r="22" spans="1:18" ht="14" customHeight="1" x14ac:dyDescent="0.15">
      <c r="A22" s="105">
        <v>16</v>
      </c>
      <c r="B22" s="40" t="s">
        <v>45</v>
      </c>
      <c r="C22" s="286">
        <v>0</v>
      </c>
      <c r="D22" s="286">
        <v>0</v>
      </c>
      <c r="E22" s="286">
        <v>2</v>
      </c>
      <c r="F22" s="286">
        <v>15.38</v>
      </c>
      <c r="G22" s="286">
        <v>20</v>
      </c>
      <c r="H22" s="286">
        <v>183.47</v>
      </c>
      <c r="I22" s="286">
        <v>0</v>
      </c>
      <c r="J22" s="286">
        <v>0</v>
      </c>
      <c r="K22" s="286">
        <v>0</v>
      </c>
      <c r="L22" s="286">
        <v>0</v>
      </c>
      <c r="M22" s="286">
        <v>0</v>
      </c>
      <c r="N22" s="286">
        <v>0</v>
      </c>
      <c r="O22" s="40">
        <f>M22+K22+I22+G22+E22+C22+MSMEoutstanding_5!M22+OutstandingAgri_4!K22</f>
        <v>157</v>
      </c>
      <c r="P22" s="40">
        <f>N22+L22+J22+H22+F22+D22+MSMEoutstanding_5!N22+OutstandingAgri_4!L22</f>
        <v>9332.67</v>
      </c>
      <c r="Q22" s="41">
        <f>P22*100/'CD Ratio_3(i)'!F22</f>
        <v>75.336738795957999</v>
      </c>
    </row>
    <row r="23" spans="1:18" ht="14.25" customHeight="1" x14ac:dyDescent="0.15">
      <c r="A23" s="105">
        <v>17</v>
      </c>
      <c r="B23" s="40" t="s">
        <v>182</v>
      </c>
      <c r="C23" s="286">
        <v>0</v>
      </c>
      <c r="D23" s="286">
        <v>0</v>
      </c>
      <c r="E23" s="286">
        <v>90</v>
      </c>
      <c r="F23" s="286">
        <v>130</v>
      </c>
      <c r="G23" s="286">
        <v>871</v>
      </c>
      <c r="H23" s="286">
        <v>6519</v>
      </c>
      <c r="I23" s="286">
        <v>8</v>
      </c>
      <c r="J23" s="286">
        <v>259</v>
      </c>
      <c r="K23" s="286">
        <v>0</v>
      </c>
      <c r="L23" s="286">
        <v>0</v>
      </c>
      <c r="M23" s="286">
        <v>9474</v>
      </c>
      <c r="N23" s="286">
        <v>1236</v>
      </c>
      <c r="O23" s="40">
        <f>M23+K23+I23+G23+E23+C23+MSMEoutstanding_5!M23+OutstandingAgri_4!K23</f>
        <v>87770</v>
      </c>
      <c r="P23" s="40">
        <f>N23+L23+J23+H23+F23+D23+MSMEoutstanding_5!N23+OutstandingAgri_4!L23</f>
        <v>95997</v>
      </c>
      <c r="Q23" s="41">
        <f>P23*100/'CD Ratio_3(i)'!F23</f>
        <v>89.207423032961316</v>
      </c>
    </row>
    <row r="24" spans="1:18" ht="14" customHeight="1" x14ac:dyDescent="0.15">
      <c r="A24" s="105">
        <v>18</v>
      </c>
      <c r="B24" s="40" t="s">
        <v>183</v>
      </c>
      <c r="C24" s="286">
        <v>0</v>
      </c>
      <c r="D24" s="286">
        <v>0</v>
      </c>
      <c r="E24" s="286">
        <v>0</v>
      </c>
      <c r="F24" s="286">
        <v>0</v>
      </c>
      <c r="G24" s="286">
        <v>7</v>
      </c>
      <c r="H24" s="286">
        <v>90.48</v>
      </c>
      <c r="I24" s="286">
        <v>0</v>
      </c>
      <c r="J24" s="286">
        <v>0</v>
      </c>
      <c r="K24" s="286">
        <v>0</v>
      </c>
      <c r="L24" s="286">
        <v>0</v>
      </c>
      <c r="M24" s="286">
        <v>0</v>
      </c>
      <c r="N24" s="286">
        <v>0</v>
      </c>
      <c r="O24" s="40">
        <f>M24+K24+I24+G24+E24+C24+MSMEoutstanding_5!M24+OutstandingAgri_4!K24</f>
        <v>12</v>
      </c>
      <c r="P24" s="40">
        <f>N24+L24+J24+H24+F24+D24+MSMEoutstanding_5!N24+OutstandingAgri_4!L24</f>
        <v>116.38</v>
      </c>
      <c r="Q24" s="41">
        <f>P24*100/'CD Ratio_3(i)'!F24</f>
        <v>22.209923664122137</v>
      </c>
    </row>
    <row r="25" spans="1:18" ht="14" customHeight="1" x14ac:dyDescent="0.15">
      <c r="A25" s="105">
        <v>19</v>
      </c>
      <c r="B25" s="40" t="s">
        <v>184</v>
      </c>
      <c r="C25" s="286">
        <v>0</v>
      </c>
      <c r="D25" s="286">
        <v>0</v>
      </c>
      <c r="E25" s="286">
        <v>15</v>
      </c>
      <c r="F25" s="286">
        <v>52</v>
      </c>
      <c r="G25" s="286">
        <v>165</v>
      </c>
      <c r="H25" s="286">
        <v>1506</v>
      </c>
      <c r="I25" s="286">
        <v>0</v>
      </c>
      <c r="J25" s="286">
        <v>0</v>
      </c>
      <c r="K25" s="286">
        <v>0</v>
      </c>
      <c r="L25" s="286">
        <v>0</v>
      </c>
      <c r="M25" s="286">
        <v>208</v>
      </c>
      <c r="N25" s="286">
        <v>1568</v>
      </c>
      <c r="O25" s="40">
        <f>M25+K25+I25+G25+E25+C25+MSMEoutstanding_5!M25+OutstandingAgri_4!K25</f>
        <v>8906</v>
      </c>
      <c r="P25" s="40">
        <f>N25+L25+J25+H25+F25+D25+MSMEoutstanding_5!N25+OutstandingAgri_4!L25</f>
        <v>20636</v>
      </c>
      <c r="Q25" s="41">
        <f>P25*100/'CD Ratio_3(i)'!F25</f>
        <v>44.024405853991553</v>
      </c>
    </row>
    <row r="26" spans="1:18" ht="14" customHeight="1" x14ac:dyDescent="0.15">
      <c r="A26" s="105">
        <v>20</v>
      </c>
      <c r="B26" s="40" t="s">
        <v>65</v>
      </c>
      <c r="C26" s="286">
        <v>0</v>
      </c>
      <c r="D26" s="286">
        <v>0</v>
      </c>
      <c r="E26" s="286">
        <v>1620</v>
      </c>
      <c r="F26" s="286">
        <v>3509.85</v>
      </c>
      <c r="G26" s="286">
        <v>13662</v>
      </c>
      <c r="H26" s="286">
        <v>111098.18</v>
      </c>
      <c r="I26" s="286">
        <v>30</v>
      </c>
      <c r="J26" s="286">
        <v>1825.87</v>
      </c>
      <c r="K26" s="286">
        <v>0</v>
      </c>
      <c r="L26" s="286">
        <v>0</v>
      </c>
      <c r="M26" s="286">
        <v>112634</v>
      </c>
      <c r="N26" s="286">
        <v>18382.37</v>
      </c>
      <c r="O26" s="40">
        <f>M26+K26+I26+G26+E26+C26+MSMEoutstanding_5!M26+OutstandingAgri_4!K26</f>
        <v>407649</v>
      </c>
      <c r="P26" s="40">
        <f>N26+L26+J26+H26+F26+D26+MSMEoutstanding_5!N26+OutstandingAgri_4!L26</f>
        <v>974986.90999999992</v>
      </c>
      <c r="Q26" s="41">
        <f>P26*100/'CD Ratio_3(i)'!F26</f>
        <v>40.313582606077212</v>
      </c>
    </row>
    <row r="27" spans="1:18" ht="14" customHeight="1" x14ac:dyDescent="0.15">
      <c r="A27" s="105">
        <v>21</v>
      </c>
      <c r="B27" s="40" t="s">
        <v>66</v>
      </c>
      <c r="C27" s="286">
        <v>0</v>
      </c>
      <c r="D27" s="286">
        <v>0</v>
      </c>
      <c r="E27" s="286">
        <v>388</v>
      </c>
      <c r="F27" s="286">
        <v>1853</v>
      </c>
      <c r="G27" s="286">
        <v>7409</v>
      </c>
      <c r="H27" s="286">
        <v>56153</v>
      </c>
      <c r="I27" s="286">
        <v>0</v>
      </c>
      <c r="J27" s="286">
        <v>0</v>
      </c>
      <c r="K27" s="286">
        <v>4</v>
      </c>
      <c r="L27" s="286">
        <v>915</v>
      </c>
      <c r="M27" s="286">
        <v>2558</v>
      </c>
      <c r="N27" s="286">
        <v>2303</v>
      </c>
      <c r="O27" s="40">
        <f>M27+K27+I27+G27+E27+C27+MSMEoutstanding_5!M27+OutstandingAgri_4!K27</f>
        <v>202972</v>
      </c>
      <c r="P27" s="40">
        <f>N27+L27+J27+H27+F27+D27+MSMEoutstanding_5!N27+OutstandingAgri_4!L27</f>
        <v>1130701</v>
      </c>
      <c r="Q27" s="41">
        <f>P27*100/'CD Ratio_3(i)'!F27</f>
        <v>49.834524139554176</v>
      </c>
    </row>
    <row r="28" spans="1:18" ht="14" customHeight="1" x14ac:dyDescent="0.15">
      <c r="A28" s="105">
        <v>22</v>
      </c>
      <c r="B28" s="40" t="s">
        <v>75</v>
      </c>
      <c r="C28" s="286">
        <v>0</v>
      </c>
      <c r="D28" s="286">
        <v>0</v>
      </c>
      <c r="E28" s="286">
        <v>653</v>
      </c>
      <c r="F28" s="286">
        <v>2238</v>
      </c>
      <c r="G28" s="286">
        <v>7110</v>
      </c>
      <c r="H28" s="286">
        <v>63342</v>
      </c>
      <c r="I28" s="286">
        <v>6</v>
      </c>
      <c r="J28" s="286">
        <v>13.5</v>
      </c>
      <c r="K28" s="286">
        <v>1</v>
      </c>
      <c r="L28" s="286">
        <v>0.22</v>
      </c>
      <c r="M28" s="286">
        <v>4</v>
      </c>
      <c r="N28" s="286">
        <v>0.45</v>
      </c>
      <c r="O28" s="40">
        <f>M28+K28+I28+G28+E28+C28+MSMEoutstanding_5!M28+OutstandingAgri_4!K28</f>
        <v>55419</v>
      </c>
      <c r="P28" s="40">
        <f>N28+L28+J28+H28+F28+D28+MSMEoutstanding_5!N28+OutstandingAgri_4!L28</f>
        <v>229810.16999999998</v>
      </c>
      <c r="Q28" s="41">
        <f>P28*100/'CD Ratio_3(i)'!F28</f>
        <v>81.389355395082148</v>
      </c>
    </row>
    <row r="29" spans="1:18" ht="14" customHeight="1" x14ac:dyDescent="0.15">
      <c r="A29" s="105">
        <v>23</v>
      </c>
      <c r="B29" s="40" t="s">
        <v>379</v>
      </c>
      <c r="C29" s="286">
        <v>0</v>
      </c>
      <c r="D29" s="286">
        <v>0</v>
      </c>
      <c r="E29" s="286">
        <v>0</v>
      </c>
      <c r="F29" s="286">
        <v>0</v>
      </c>
      <c r="G29" s="286">
        <v>6860</v>
      </c>
      <c r="H29" s="286">
        <v>13477</v>
      </c>
      <c r="I29" s="286">
        <v>2501</v>
      </c>
      <c r="J29" s="286">
        <v>674</v>
      </c>
      <c r="K29" s="286">
        <v>0</v>
      </c>
      <c r="L29" s="286">
        <v>0</v>
      </c>
      <c r="M29" s="286">
        <v>0</v>
      </c>
      <c r="N29" s="286">
        <v>0</v>
      </c>
      <c r="O29" s="40">
        <f>M29+K29+I29+G29+E29+C29+MSMEoutstanding_5!M29+OutstandingAgri_4!K29</f>
        <v>213424</v>
      </c>
      <c r="P29" s="40">
        <f>N29+L29+J29+H29+F29+D29+MSMEoutstanding_5!N29+OutstandingAgri_4!L29</f>
        <v>171871.35999999999</v>
      </c>
      <c r="Q29" s="41">
        <f>P29*100/'CD Ratio_3(i)'!F29</f>
        <v>52.175513797395347</v>
      </c>
    </row>
    <row r="30" spans="1:18" ht="14" customHeight="1" x14ac:dyDescent="0.15">
      <c r="A30" s="105">
        <v>24</v>
      </c>
      <c r="B30" s="40" t="s">
        <v>185</v>
      </c>
      <c r="C30" s="286">
        <v>0</v>
      </c>
      <c r="D30" s="286">
        <v>0</v>
      </c>
      <c r="E30" s="286">
        <v>0</v>
      </c>
      <c r="F30" s="286">
        <v>0</v>
      </c>
      <c r="G30" s="286">
        <v>2912</v>
      </c>
      <c r="H30" s="286">
        <v>11477</v>
      </c>
      <c r="I30" s="286">
        <v>0</v>
      </c>
      <c r="J30" s="286">
        <v>0</v>
      </c>
      <c r="K30" s="286">
        <v>0</v>
      </c>
      <c r="L30" s="286">
        <v>0</v>
      </c>
      <c r="M30" s="286">
        <v>233</v>
      </c>
      <c r="N30" s="286">
        <v>29</v>
      </c>
      <c r="O30" s="40">
        <f>M30+K30+I30+G30+E30+C30+MSMEoutstanding_5!M30+OutstandingAgri_4!K30</f>
        <v>640028</v>
      </c>
      <c r="P30" s="40">
        <f>N30+L30+J30+H30+F30+D30+MSMEoutstanding_5!N30+OutstandingAgri_4!L30</f>
        <v>425164</v>
      </c>
      <c r="Q30" s="41">
        <f>P30*100/'CD Ratio_3(i)'!F30</f>
        <v>71.546198491883061</v>
      </c>
    </row>
    <row r="31" spans="1:18" ht="14" customHeight="1" x14ac:dyDescent="0.15">
      <c r="A31" s="105">
        <v>25</v>
      </c>
      <c r="B31" s="40" t="s">
        <v>186</v>
      </c>
      <c r="C31" s="286">
        <v>0</v>
      </c>
      <c r="D31" s="286">
        <v>0</v>
      </c>
      <c r="E31" s="286">
        <v>5</v>
      </c>
      <c r="F31" s="286">
        <v>45</v>
      </c>
      <c r="G31" s="286">
        <v>95</v>
      </c>
      <c r="H31" s="286">
        <v>545</v>
      </c>
      <c r="I31" s="286">
        <v>0</v>
      </c>
      <c r="J31" s="286">
        <v>0</v>
      </c>
      <c r="K31" s="286">
        <v>0</v>
      </c>
      <c r="L31" s="286">
        <v>0</v>
      </c>
      <c r="M31" s="286">
        <v>10</v>
      </c>
      <c r="N31" s="286">
        <v>10</v>
      </c>
      <c r="O31" s="40">
        <f>M31+K31+I31+G31+E31+C31+MSMEoutstanding_5!M31+OutstandingAgri_4!K31</f>
        <v>457</v>
      </c>
      <c r="P31" s="40">
        <f>N31+L31+J31+H31+F31+D31+MSMEoutstanding_5!N31+OutstandingAgri_4!L31</f>
        <v>2298</v>
      </c>
      <c r="Q31" s="41">
        <f>P31*100/'CD Ratio_3(i)'!F31</f>
        <v>58.772378516624038</v>
      </c>
    </row>
    <row r="32" spans="1:18" ht="14" customHeight="1" x14ac:dyDescent="0.15">
      <c r="A32" s="105">
        <v>26</v>
      </c>
      <c r="B32" s="40" t="s">
        <v>187</v>
      </c>
      <c r="C32" s="286">
        <v>0</v>
      </c>
      <c r="D32" s="286">
        <v>0</v>
      </c>
      <c r="E32" s="286">
        <v>11</v>
      </c>
      <c r="F32" s="286">
        <v>38.53</v>
      </c>
      <c r="G32" s="286">
        <v>283</v>
      </c>
      <c r="H32" s="286">
        <v>2987.25</v>
      </c>
      <c r="I32" s="286">
        <v>0</v>
      </c>
      <c r="J32" s="286">
        <v>0</v>
      </c>
      <c r="K32" s="286">
        <v>31</v>
      </c>
      <c r="L32" s="286">
        <v>1.75</v>
      </c>
      <c r="M32" s="286">
        <v>0</v>
      </c>
      <c r="N32" s="286">
        <v>0</v>
      </c>
      <c r="O32" s="40">
        <f>M32+K32+I32+G32+E32+C32+MSMEoutstanding_5!M32+OutstandingAgri_4!K32</f>
        <v>3324</v>
      </c>
      <c r="P32" s="40">
        <f>N32+L32+J32+H32+F32+D32+MSMEoutstanding_5!N32+OutstandingAgri_4!L32</f>
        <v>38558.160000000003</v>
      </c>
      <c r="Q32" s="41">
        <f>P32*100/'CD Ratio_3(i)'!F32</f>
        <v>91.722592523871384</v>
      </c>
    </row>
    <row r="33" spans="1:18" ht="14" customHeight="1" x14ac:dyDescent="0.15">
      <c r="A33" s="105">
        <v>27</v>
      </c>
      <c r="B33" s="40" t="s">
        <v>188</v>
      </c>
      <c r="C33" s="286">
        <v>0</v>
      </c>
      <c r="D33" s="286">
        <v>0</v>
      </c>
      <c r="E33" s="286">
        <v>4</v>
      </c>
      <c r="F33" s="286">
        <v>8.18</v>
      </c>
      <c r="G33" s="286">
        <v>107</v>
      </c>
      <c r="H33" s="286">
        <v>1816.61</v>
      </c>
      <c r="I33" s="286">
        <v>0</v>
      </c>
      <c r="J33" s="286">
        <v>0</v>
      </c>
      <c r="K33" s="286">
        <v>0</v>
      </c>
      <c r="L33" s="286">
        <v>0</v>
      </c>
      <c r="M33" s="286">
        <v>0</v>
      </c>
      <c r="N33" s="286">
        <v>0</v>
      </c>
      <c r="O33" s="40">
        <f>M33+K33+I33+G33+E33+C33+MSMEoutstanding_5!M33+OutstandingAgri_4!K33</f>
        <v>210</v>
      </c>
      <c r="P33" s="40">
        <f>N33+L33+J33+H33+F33+D33+MSMEoutstanding_5!N33+OutstandingAgri_4!L33</f>
        <v>5181.74</v>
      </c>
      <c r="Q33" s="41">
        <f>P33*100/'CD Ratio_3(i)'!F33</f>
        <v>65.029592333602736</v>
      </c>
    </row>
    <row r="34" spans="1:18" ht="14" customHeight="1" x14ac:dyDescent="0.15">
      <c r="A34" s="105">
        <v>28</v>
      </c>
      <c r="B34" s="40" t="s">
        <v>67</v>
      </c>
      <c r="C34" s="286">
        <v>0</v>
      </c>
      <c r="D34" s="286">
        <v>0</v>
      </c>
      <c r="E34" s="286">
        <v>0</v>
      </c>
      <c r="F34" s="286">
        <v>0</v>
      </c>
      <c r="G34" s="286">
        <v>20</v>
      </c>
      <c r="H34" s="286">
        <v>293.49</v>
      </c>
      <c r="I34" s="286">
        <v>0</v>
      </c>
      <c r="J34" s="286">
        <v>0</v>
      </c>
      <c r="K34" s="286">
        <v>0</v>
      </c>
      <c r="L34" s="286">
        <v>0</v>
      </c>
      <c r="M34" s="286">
        <v>39997</v>
      </c>
      <c r="N34" s="286">
        <v>8295.8700000000008</v>
      </c>
      <c r="O34" s="40">
        <f>M34+K34+I34+G34+E34+C34+MSMEoutstanding_5!M34+OutstandingAgri_4!K34</f>
        <v>165162</v>
      </c>
      <c r="P34" s="40">
        <f>N34+L34+J34+H34+F34+D34+MSMEoutstanding_5!N34+OutstandingAgri_4!L34</f>
        <v>435209.82999999996</v>
      </c>
      <c r="Q34" s="41">
        <f>P34*100/'CD Ratio_3(i)'!F34</f>
        <v>76.560642540382347</v>
      </c>
    </row>
    <row r="35" spans="1:18" ht="14" customHeight="1" x14ac:dyDescent="0.15">
      <c r="A35" s="105">
        <v>29</v>
      </c>
      <c r="B35" s="40" t="s">
        <v>189</v>
      </c>
      <c r="C35" s="286">
        <v>0</v>
      </c>
      <c r="D35" s="286">
        <v>0</v>
      </c>
      <c r="E35" s="286">
        <v>1</v>
      </c>
      <c r="F35" s="286">
        <v>1</v>
      </c>
      <c r="G35" s="286">
        <v>8</v>
      </c>
      <c r="H35" s="286">
        <v>80</v>
      </c>
      <c r="I35" s="286">
        <v>0</v>
      </c>
      <c r="J35" s="286">
        <v>0</v>
      </c>
      <c r="K35" s="286">
        <v>0</v>
      </c>
      <c r="L35" s="286">
        <v>0</v>
      </c>
      <c r="M35" s="286">
        <v>67</v>
      </c>
      <c r="N35" s="286">
        <v>695</v>
      </c>
      <c r="O35" s="40">
        <f>M35+K35+I35+G35+E35+C35+MSMEoutstanding_5!M35+OutstandingAgri_4!K35</f>
        <v>151</v>
      </c>
      <c r="P35" s="40">
        <f>N35+L35+J35+H35+F35+D35+MSMEoutstanding_5!N35+OutstandingAgri_4!L35</f>
        <v>1701</v>
      </c>
      <c r="Q35" s="41">
        <f>P35*100/'CD Ratio_3(i)'!F35</f>
        <v>27.766895200783544</v>
      </c>
    </row>
    <row r="36" spans="1:18" ht="14" customHeight="1" x14ac:dyDescent="0.15">
      <c r="A36" s="105">
        <v>30</v>
      </c>
      <c r="B36" s="40" t="s">
        <v>190</v>
      </c>
      <c r="C36" s="286">
        <v>0</v>
      </c>
      <c r="D36" s="286">
        <v>0</v>
      </c>
      <c r="E36" s="286">
        <v>317</v>
      </c>
      <c r="F36" s="286">
        <v>47</v>
      </c>
      <c r="G36" s="286">
        <v>125</v>
      </c>
      <c r="H36" s="286">
        <v>25</v>
      </c>
      <c r="I36" s="286">
        <v>0</v>
      </c>
      <c r="J36" s="286">
        <v>0</v>
      </c>
      <c r="K36" s="286">
        <v>0</v>
      </c>
      <c r="L36" s="286">
        <v>0</v>
      </c>
      <c r="M36" s="286">
        <v>48860</v>
      </c>
      <c r="N36" s="286">
        <v>8165</v>
      </c>
      <c r="O36" s="40">
        <f>M36+K36+I36+G36+E36+C36+MSMEoutstanding_5!M36+OutstandingAgri_4!K36</f>
        <v>193173</v>
      </c>
      <c r="P36" s="40">
        <f>N36+L36+J36+H36+F36+D36+MSMEoutstanding_5!N36+OutstandingAgri_4!L36</f>
        <v>66895</v>
      </c>
      <c r="Q36" s="41">
        <f>P36*100/'CD Ratio_3(i)'!F36</f>
        <v>76.959803041807604</v>
      </c>
    </row>
    <row r="37" spans="1:18" ht="14" customHeight="1" x14ac:dyDescent="0.15">
      <c r="A37" s="105">
        <v>31</v>
      </c>
      <c r="B37" s="40" t="s">
        <v>191</v>
      </c>
      <c r="C37" s="286">
        <v>0</v>
      </c>
      <c r="D37" s="286">
        <v>0</v>
      </c>
      <c r="E37" s="286">
        <v>12</v>
      </c>
      <c r="F37" s="286">
        <v>39</v>
      </c>
      <c r="G37" s="286">
        <v>46</v>
      </c>
      <c r="H37" s="286">
        <v>483</v>
      </c>
      <c r="I37" s="286">
        <v>4</v>
      </c>
      <c r="J37" s="286">
        <v>582</v>
      </c>
      <c r="K37" s="286">
        <v>0</v>
      </c>
      <c r="L37" s="286">
        <v>0</v>
      </c>
      <c r="M37" s="286">
        <v>11</v>
      </c>
      <c r="N37" s="286">
        <v>1</v>
      </c>
      <c r="O37" s="40">
        <f>M37+K37+I37+G37+E37+C37+MSMEoutstanding_5!M37+OutstandingAgri_4!K37</f>
        <v>311</v>
      </c>
      <c r="P37" s="40">
        <f>N37+L37+J37+H37+F37+D37+MSMEoutstanding_5!N37+OutstandingAgri_4!L37</f>
        <v>7006</v>
      </c>
      <c r="Q37" s="41">
        <f>P37*100/'CD Ratio_3(i)'!F37</f>
        <v>72.115285640761712</v>
      </c>
    </row>
    <row r="38" spans="1:18" ht="14" customHeight="1" x14ac:dyDescent="0.15">
      <c r="A38" s="105">
        <v>32</v>
      </c>
      <c r="B38" s="40" t="s">
        <v>71</v>
      </c>
      <c r="C38" s="286">
        <v>0</v>
      </c>
      <c r="D38" s="286">
        <v>0</v>
      </c>
      <c r="E38" s="286">
        <v>0</v>
      </c>
      <c r="F38" s="286">
        <v>0</v>
      </c>
      <c r="G38" s="286">
        <v>0</v>
      </c>
      <c r="H38" s="286">
        <v>75</v>
      </c>
      <c r="I38" s="286">
        <v>0</v>
      </c>
      <c r="J38" s="286">
        <v>0</v>
      </c>
      <c r="K38" s="286">
        <v>0</v>
      </c>
      <c r="L38" s="286">
        <v>0</v>
      </c>
      <c r="M38" s="286">
        <v>0</v>
      </c>
      <c r="N38" s="286">
        <v>0</v>
      </c>
      <c r="O38" s="40">
        <f>M38+K38+I38+G38+E38+C38+MSMEoutstanding_5!M38+OutstandingAgri_4!K38</f>
        <v>0</v>
      </c>
      <c r="P38" s="40">
        <f>N38+L38+J38+H38+F38+D38+MSMEoutstanding_5!N38+OutstandingAgri_4!L38</f>
        <v>17099</v>
      </c>
      <c r="Q38" s="41">
        <f>P38*100/'CD Ratio_3(i)'!F38</f>
        <v>65.222725120452594</v>
      </c>
    </row>
    <row r="39" spans="1:18" ht="14" customHeight="1" x14ac:dyDescent="0.15">
      <c r="A39" s="105">
        <v>33</v>
      </c>
      <c r="B39" s="40" t="s">
        <v>192</v>
      </c>
      <c r="C39" s="286">
        <v>0</v>
      </c>
      <c r="D39" s="286">
        <v>0</v>
      </c>
      <c r="E39" s="286">
        <v>0</v>
      </c>
      <c r="F39" s="286">
        <v>0</v>
      </c>
      <c r="G39" s="286">
        <v>37</v>
      </c>
      <c r="H39" s="286">
        <v>310</v>
      </c>
      <c r="I39" s="286">
        <v>0</v>
      </c>
      <c r="J39" s="286">
        <v>0</v>
      </c>
      <c r="K39" s="286">
        <v>0</v>
      </c>
      <c r="L39" s="286">
        <v>0</v>
      </c>
      <c r="M39" s="286">
        <v>5</v>
      </c>
      <c r="N39" s="286">
        <v>0.26</v>
      </c>
      <c r="O39" s="40">
        <f>M39+K39+I39+G39+E39+C39+MSMEoutstanding_5!M39+OutstandingAgri_4!K39</f>
        <v>500</v>
      </c>
      <c r="P39" s="40">
        <f>N39+L39+J39+H39+F39+D39+MSMEoutstanding_5!N39+OutstandingAgri_4!L39</f>
        <v>2990.26</v>
      </c>
      <c r="Q39" s="41">
        <f>P39*100/'CD Ratio_3(i)'!F39</f>
        <v>44.764371257485031</v>
      </c>
    </row>
    <row r="40" spans="1:18" ht="14" customHeight="1" x14ac:dyDescent="0.15">
      <c r="A40" s="105">
        <v>34</v>
      </c>
      <c r="B40" s="40" t="s">
        <v>70</v>
      </c>
      <c r="C40" s="286">
        <v>0</v>
      </c>
      <c r="D40" s="286">
        <v>0</v>
      </c>
      <c r="E40" s="286">
        <v>0</v>
      </c>
      <c r="F40" s="286">
        <v>0</v>
      </c>
      <c r="G40" s="286">
        <v>1583</v>
      </c>
      <c r="H40" s="286">
        <v>15516</v>
      </c>
      <c r="I40" s="286">
        <v>0</v>
      </c>
      <c r="J40" s="286">
        <v>0</v>
      </c>
      <c r="K40" s="286">
        <v>0</v>
      </c>
      <c r="L40" s="286">
        <v>0</v>
      </c>
      <c r="M40" s="286">
        <v>6670</v>
      </c>
      <c r="N40" s="286">
        <v>1209</v>
      </c>
      <c r="O40" s="40">
        <f>M40+K40+I40+G40+E40+C40+MSMEoutstanding_5!M40+OutstandingAgri_4!K40</f>
        <v>110296</v>
      </c>
      <c r="P40" s="40">
        <f>N40+L40+J40+H40+F40+D40+MSMEoutstanding_5!N40+OutstandingAgri_4!L40</f>
        <v>149463</v>
      </c>
      <c r="Q40" s="41">
        <f>P40*100/'CD Ratio_3(i)'!F40</f>
        <v>68.749281288666666</v>
      </c>
    </row>
    <row r="41" spans="1:18" s="43" customFormat="1" ht="14" customHeight="1" x14ac:dyDescent="0.15">
      <c r="A41" s="268"/>
      <c r="B41" s="42" t="s">
        <v>213</v>
      </c>
      <c r="C41" s="287">
        <f>SUM(C19:C40)</f>
        <v>14</v>
      </c>
      <c r="D41" s="287">
        <f t="shared" ref="D41:N41" si="1">SUM(D19:D40)</f>
        <v>10903.44</v>
      </c>
      <c r="E41" s="287">
        <f t="shared" si="1"/>
        <v>3951</v>
      </c>
      <c r="F41" s="287">
        <f t="shared" si="1"/>
        <v>14347.240000000002</v>
      </c>
      <c r="G41" s="287">
        <f t="shared" si="1"/>
        <v>88246</v>
      </c>
      <c r="H41" s="287">
        <f t="shared" si="1"/>
        <v>608621.16</v>
      </c>
      <c r="I41" s="287">
        <f t="shared" si="1"/>
        <v>2549</v>
      </c>
      <c r="J41" s="287">
        <f t="shared" si="1"/>
        <v>3354.37</v>
      </c>
      <c r="K41" s="287">
        <f t="shared" si="1"/>
        <v>36</v>
      </c>
      <c r="L41" s="287">
        <f t="shared" si="1"/>
        <v>916.97</v>
      </c>
      <c r="M41" s="287">
        <f t="shared" si="1"/>
        <v>305814</v>
      </c>
      <c r="N41" s="287">
        <f t="shared" si="1"/>
        <v>61496.600000000006</v>
      </c>
      <c r="O41" s="42">
        <f>M41+K41+I41+G41+E41+C41+MSMEoutstanding_5!M41+OutstandingAgri_4!K41</f>
        <v>2961466</v>
      </c>
      <c r="P41" s="42">
        <f>N41+L41+J41+H41+F41+D41+MSMEoutstanding_5!N41+OutstandingAgri_4!L41</f>
        <v>4989078.49</v>
      </c>
      <c r="Q41" s="39">
        <f>P41*100/'CD Ratio_3(i)'!F41</f>
        <v>56.215008219863748</v>
      </c>
      <c r="R41" s="44"/>
    </row>
    <row r="42" spans="1:18" s="43" customFormat="1" ht="14" customHeight="1" x14ac:dyDescent="0.15">
      <c r="A42" s="268"/>
      <c r="B42" s="42" t="s">
        <v>311</v>
      </c>
      <c r="C42" s="287">
        <f>C41+C18</f>
        <v>39</v>
      </c>
      <c r="D42" s="287">
        <f t="shared" ref="D42:N42" si="2">D41+D18</f>
        <v>25218.440000000002</v>
      </c>
      <c r="E42" s="287">
        <f t="shared" si="2"/>
        <v>64527</v>
      </c>
      <c r="F42" s="287">
        <f t="shared" si="2"/>
        <v>214077.66999999998</v>
      </c>
      <c r="G42" s="287">
        <f t="shared" si="2"/>
        <v>653266</v>
      </c>
      <c r="H42" s="287">
        <f t="shared" si="2"/>
        <v>2611075.44</v>
      </c>
      <c r="I42" s="287">
        <f t="shared" si="2"/>
        <v>3136</v>
      </c>
      <c r="J42" s="287">
        <f t="shared" si="2"/>
        <v>8803.17</v>
      </c>
      <c r="K42" s="287">
        <f t="shared" si="2"/>
        <v>104</v>
      </c>
      <c r="L42" s="287">
        <f t="shared" si="2"/>
        <v>6285.75</v>
      </c>
      <c r="M42" s="287">
        <f t="shared" si="2"/>
        <v>401416</v>
      </c>
      <c r="N42" s="287">
        <f t="shared" si="2"/>
        <v>135936.26</v>
      </c>
      <c r="O42" s="42">
        <f>M42+K42+I42+G42+E42+C42+MSMEoutstanding_5!M42+OutstandingAgri_4!K42</f>
        <v>6893027</v>
      </c>
      <c r="P42" s="42">
        <f>N42+L42+J42+H42+F42+D42+MSMEoutstanding_5!N42+OutstandingAgri_4!L42</f>
        <v>16038459.260000002</v>
      </c>
      <c r="Q42" s="39">
        <f>P42*100/'CD Ratio_3(i)'!F42</f>
        <v>54.035351914896253</v>
      </c>
      <c r="R42" s="44"/>
    </row>
    <row r="43" spans="1:18" ht="14" customHeight="1" x14ac:dyDescent="0.15">
      <c r="A43" s="105">
        <v>35</v>
      </c>
      <c r="B43" s="40" t="s">
        <v>193</v>
      </c>
      <c r="C43" s="286">
        <v>0</v>
      </c>
      <c r="D43" s="286">
        <v>0</v>
      </c>
      <c r="E43" s="286">
        <v>354</v>
      </c>
      <c r="F43" s="286">
        <v>720</v>
      </c>
      <c r="G43" s="286">
        <v>59588</v>
      </c>
      <c r="H43" s="286">
        <v>44860</v>
      </c>
      <c r="I43" s="286">
        <v>0</v>
      </c>
      <c r="J43" s="286">
        <v>0</v>
      </c>
      <c r="K43" s="286">
        <v>165</v>
      </c>
      <c r="L43" s="286">
        <v>45</v>
      </c>
      <c r="M43" s="286">
        <v>6028</v>
      </c>
      <c r="N43" s="286">
        <v>3819</v>
      </c>
      <c r="O43" s="40">
        <f>M43+K43+I43+G43+E43+C43+MSMEoutstanding_5!M43+OutstandingAgri_4!K43</f>
        <v>306986</v>
      </c>
      <c r="P43" s="40">
        <f>N43+L43+J43+H43+F43+D43+MSMEoutstanding_5!N43+OutstandingAgri_4!L43</f>
        <v>256885</v>
      </c>
      <c r="Q43" s="41">
        <f>P43*100/'CD Ratio_3(i)'!F43</f>
        <v>92.520160055897108</v>
      </c>
    </row>
    <row r="44" spans="1:18" ht="14" customHeight="1" x14ac:dyDescent="0.15">
      <c r="A44" s="105">
        <v>36</v>
      </c>
      <c r="B44" s="40" t="s">
        <v>382</v>
      </c>
      <c r="C44" s="286">
        <v>0</v>
      </c>
      <c r="D44" s="286">
        <v>0</v>
      </c>
      <c r="E44" s="286">
        <v>2984</v>
      </c>
      <c r="F44" s="286">
        <v>6981.48</v>
      </c>
      <c r="G44" s="286">
        <v>212785</v>
      </c>
      <c r="H44" s="286">
        <v>129000.02</v>
      </c>
      <c r="I44" s="286">
        <v>25</v>
      </c>
      <c r="J44" s="286">
        <v>996.64</v>
      </c>
      <c r="K44" s="286">
        <v>66</v>
      </c>
      <c r="L44" s="286">
        <v>19.12</v>
      </c>
      <c r="M44" s="286">
        <v>47004</v>
      </c>
      <c r="N44" s="286">
        <v>38767.629999999997</v>
      </c>
      <c r="O44" s="40">
        <f>M44+K44+I44+G44+E44+C44+MSMEoutstanding_5!M44+OutstandingAgri_4!K44</f>
        <v>860272</v>
      </c>
      <c r="P44" s="40">
        <f>N44+L44+J44+H44+F44+D44+MSMEoutstanding_5!N44+OutstandingAgri_4!L44</f>
        <v>968050.75</v>
      </c>
      <c r="Q44" s="41">
        <f>P44*100/'CD Ratio_3(i)'!F44</f>
        <v>88.79209376474526</v>
      </c>
    </row>
    <row r="45" spans="1:18" s="43" customFormat="1" ht="14" customHeight="1" x14ac:dyDescent="0.15">
      <c r="A45" s="268"/>
      <c r="B45" s="42" t="s">
        <v>216</v>
      </c>
      <c r="C45" s="287">
        <f>C44+C43</f>
        <v>0</v>
      </c>
      <c r="D45" s="287">
        <f t="shared" ref="D45:N45" si="3">D44+D43</f>
        <v>0</v>
      </c>
      <c r="E45" s="287">
        <f t="shared" si="3"/>
        <v>3338</v>
      </c>
      <c r="F45" s="287">
        <f t="shared" si="3"/>
        <v>7701.48</v>
      </c>
      <c r="G45" s="287">
        <f t="shared" si="3"/>
        <v>272373</v>
      </c>
      <c r="H45" s="287">
        <f t="shared" si="3"/>
        <v>173860.02000000002</v>
      </c>
      <c r="I45" s="287">
        <f t="shared" si="3"/>
        <v>25</v>
      </c>
      <c r="J45" s="287">
        <f t="shared" si="3"/>
        <v>996.64</v>
      </c>
      <c r="K45" s="287">
        <f t="shared" si="3"/>
        <v>231</v>
      </c>
      <c r="L45" s="287">
        <f t="shared" si="3"/>
        <v>64.12</v>
      </c>
      <c r="M45" s="287">
        <f t="shared" si="3"/>
        <v>53032</v>
      </c>
      <c r="N45" s="287">
        <f t="shared" si="3"/>
        <v>42586.63</v>
      </c>
      <c r="O45" s="42">
        <f>M45+K45+I45+G45+E45+C45+MSMEoutstanding_5!M45+OutstandingAgri_4!K45</f>
        <v>1167258</v>
      </c>
      <c r="P45" s="42">
        <f>N45+L45+J45+H45+F45+D45+MSMEoutstanding_5!N45+OutstandingAgri_4!L45</f>
        <v>1224935.75</v>
      </c>
      <c r="Q45" s="39">
        <f>P45*100/'CD Ratio_3(i)'!F45</f>
        <v>89.548809040351131</v>
      </c>
      <c r="R45" s="44"/>
    </row>
    <row r="46" spans="1:18" ht="14" customHeight="1" x14ac:dyDescent="0.15">
      <c r="A46" s="105">
        <v>37</v>
      </c>
      <c r="B46" s="40" t="s">
        <v>312</v>
      </c>
      <c r="C46" s="286">
        <v>0</v>
      </c>
      <c r="D46" s="286">
        <v>0</v>
      </c>
      <c r="E46" s="286">
        <v>62</v>
      </c>
      <c r="F46" s="286">
        <v>187</v>
      </c>
      <c r="G46" s="286">
        <v>10447</v>
      </c>
      <c r="H46" s="286">
        <v>25068</v>
      </c>
      <c r="I46" s="286">
        <v>0</v>
      </c>
      <c r="J46" s="286">
        <v>0</v>
      </c>
      <c r="K46" s="286">
        <v>0</v>
      </c>
      <c r="L46" s="286">
        <v>0</v>
      </c>
      <c r="M46" s="286">
        <v>6572</v>
      </c>
      <c r="N46" s="286">
        <v>176139</v>
      </c>
      <c r="O46" s="40">
        <f>M46+K46+I46+G46+E46+C46+MSMEoutstanding_5!M46+OutstandingAgri_4!K46</f>
        <v>3919766</v>
      </c>
      <c r="P46" s="40">
        <f>N46+L46+J46+H46+F46+D46+MSMEoutstanding_5!N46+OutstandingAgri_4!L46</f>
        <v>3467646</v>
      </c>
      <c r="Q46" s="41">
        <f>P46*100/'CD Ratio_3(i)'!F46</f>
        <v>96.450466322194686</v>
      </c>
    </row>
    <row r="47" spans="1:18" s="43" customFormat="1" ht="14" customHeight="1" x14ac:dyDescent="0.15">
      <c r="A47" s="268"/>
      <c r="B47" s="42" t="s">
        <v>214</v>
      </c>
      <c r="C47" s="287">
        <f>C46</f>
        <v>0</v>
      </c>
      <c r="D47" s="287">
        <f t="shared" ref="D47:N47" si="4">D46</f>
        <v>0</v>
      </c>
      <c r="E47" s="287">
        <f t="shared" si="4"/>
        <v>62</v>
      </c>
      <c r="F47" s="287">
        <f t="shared" si="4"/>
        <v>187</v>
      </c>
      <c r="G47" s="287">
        <f t="shared" si="4"/>
        <v>10447</v>
      </c>
      <c r="H47" s="287">
        <f t="shared" si="4"/>
        <v>25068</v>
      </c>
      <c r="I47" s="287">
        <f t="shared" si="4"/>
        <v>0</v>
      </c>
      <c r="J47" s="287">
        <f t="shared" si="4"/>
        <v>0</v>
      </c>
      <c r="K47" s="287">
        <f t="shared" si="4"/>
        <v>0</v>
      </c>
      <c r="L47" s="287">
        <f t="shared" si="4"/>
        <v>0</v>
      </c>
      <c r="M47" s="287">
        <f t="shared" si="4"/>
        <v>6572</v>
      </c>
      <c r="N47" s="287">
        <f t="shared" si="4"/>
        <v>176139</v>
      </c>
      <c r="O47" s="42">
        <f>M47+K47+I47+G47+E47+C47+MSMEoutstanding_5!M47+OutstandingAgri_4!K47</f>
        <v>3919766</v>
      </c>
      <c r="P47" s="42">
        <f>N47+L47+J47+H47+F47+D47+MSMEoutstanding_5!N47+OutstandingAgri_4!L47</f>
        <v>3467646</v>
      </c>
      <c r="Q47" s="39">
        <f>P47*100/'CD Ratio_3(i)'!F47</f>
        <v>96.450466322194686</v>
      </c>
      <c r="R47" s="44"/>
    </row>
    <row r="48" spans="1:18" ht="14" customHeight="1" x14ac:dyDescent="0.15">
      <c r="A48" s="105">
        <v>38</v>
      </c>
      <c r="B48" s="40" t="s">
        <v>304</v>
      </c>
      <c r="C48" s="286">
        <v>0</v>
      </c>
      <c r="D48" s="286">
        <v>0</v>
      </c>
      <c r="E48" s="286">
        <v>0</v>
      </c>
      <c r="F48" s="286">
        <v>0</v>
      </c>
      <c r="G48" s="286">
        <v>2445</v>
      </c>
      <c r="H48" s="286">
        <v>19540.7</v>
      </c>
      <c r="I48" s="286">
        <v>85</v>
      </c>
      <c r="J48" s="286">
        <v>2041.22</v>
      </c>
      <c r="K48" s="286">
        <v>0</v>
      </c>
      <c r="L48" s="286">
        <v>0</v>
      </c>
      <c r="M48" s="286">
        <v>271</v>
      </c>
      <c r="N48" s="286">
        <v>20.3</v>
      </c>
      <c r="O48" s="40">
        <f>M48+K48+I48+G48+E48+C48+MSMEoutstanding_5!M48+OutstandingAgri_4!K48</f>
        <v>94698</v>
      </c>
      <c r="P48" s="40">
        <f>N48+L48+J48+H48+F48+D48+MSMEoutstanding_5!N48+OutstandingAgri_4!L48</f>
        <v>475206.57000000007</v>
      </c>
      <c r="Q48" s="41">
        <f>P48*100/'CD Ratio_3(i)'!F48</f>
        <v>82.05003494589063</v>
      </c>
    </row>
    <row r="49" spans="1:18" ht="14" customHeight="1" x14ac:dyDescent="0.15">
      <c r="A49" s="105">
        <v>39</v>
      </c>
      <c r="B49" s="40" t="s">
        <v>305</v>
      </c>
      <c r="C49" s="290">
        <v>0</v>
      </c>
      <c r="D49" s="290">
        <v>0</v>
      </c>
      <c r="E49" s="290">
        <v>0</v>
      </c>
      <c r="F49" s="290">
        <v>0</v>
      </c>
      <c r="G49" s="290">
        <v>455</v>
      </c>
      <c r="H49" s="290">
        <v>3422</v>
      </c>
      <c r="I49" s="290">
        <v>0</v>
      </c>
      <c r="J49" s="290">
        <v>0</v>
      </c>
      <c r="K49" s="290">
        <v>0</v>
      </c>
      <c r="L49" s="290">
        <v>0</v>
      </c>
      <c r="M49" s="290">
        <v>52300</v>
      </c>
      <c r="N49" s="290">
        <v>6197</v>
      </c>
      <c r="O49" s="40">
        <f>M49+K49+I49+G49+E49+C49+MSMEoutstanding_5!M49+OutstandingAgri_4!K49</f>
        <v>81273</v>
      </c>
      <c r="P49" s="40">
        <f>N49+L49+J49+H49+F49+D49+MSMEoutstanding_5!N49+OutstandingAgri_4!L49</f>
        <v>27668</v>
      </c>
      <c r="Q49" s="41">
        <f>P49*100/'CD Ratio_3(i)'!F49</f>
        <v>48.332605467726438</v>
      </c>
    </row>
    <row r="50" spans="1:18" ht="14" customHeight="1" x14ac:dyDescent="0.15">
      <c r="A50" s="105">
        <v>40</v>
      </c>
      <c r="B50" s="40" t="s">
        <v>383</v>
      </c>
      <c r="C50" s="286">
        <v>0</v>
      </c>
      <c r="D50" s="286">
        <v>0</v>
      </c>
      <c r="E50" s="286">
        <v>96</v>
      </c>
      <c r="F50" s="286">
        <v>20.329999999999998</v>
      </c>
      <c r="G50" s="286">
        <v>842</v>
      </c>
      <c r="H50" s="286">
        <v>183.14</v>
      </c>
      <c r="I50" s="286">
        <v>0</v>
      </c>
      <c r="J50" s="286">
        <v>0</v>
      </c>
      <c r="K50" s="286">
        <v>0</v>
      </c>
      <c r="L50" s="286">
        <v>0</v>
      </c>
      <c r="M50" s="286">
        <v>28231</v>
      </c>
      <c r="N50" s="286">
        <v>5038.1899999999996</v>
      </c>
      <c r="O50" s="40">
        <f>M50+K50+I50+G50+E50+C50+MSMEoutstanding_5!M50+OutstandingAgri_4!K50</f>
        <v>191747</v>
      </c>
      <c r="P50" s="40">
        <f>N50+L50+J50+H50+F50+D50+MSMEoutstanding_5!N50+OutstandingAgri_4!L50</f>
        <v>41287.300000000003</v>
      </c>
      <c r="Q50" s="41">
        <f>P50*100/'CD Ratio_3(i)'!F50</f>
        <v>98.25609607214075</v>
      </c>
    </row>
    <row r="51" spans="1:18" ht="14" customHeight="1" x14ac:dyDescent="0.15">
      <c r="A51" s="105">
        <v>41</v>
      </c>
      <c r="B51" s="40" t="s">
        <v>306</v>
      </c>
      <c r="C51" s="290">
        <v>0</v>
      </c>
      <c r="D51" s="290">
        <v>0</v>
      </c>
      <c r="E51" s="290">
        <v>0</v>
      </c>
      <c r="F51" s="290">
        <v>0</v>
      </c>
      <c r="G51" s="290">
        <v>0</v>
      </c>
      <c r="H51" s="290">
        <v>0</v>
      </c>
      <c r="I51" s="290">
        <v>0</v>
      </c>
      <c r="J51" s="290">
        <v>0</v>
      </c>
      <c r="K51" s="290">
        <v>0</v>
      </c>
      <c r="L51" s="290">
        <v>0</v>
      </c>
      <c r="M51" s="290">
        <v>77468</v>
      </c>
      <c r="N51" s="290">
        <v>22459.18</v>
      </c>
      <c r="O51" s="40">
        <f>M51+K51+I51+G51+E51+C51+MSMEoutstanding_5!M51+OutstandingAgri_4!K51</f>
        <v>270577</v>
      </c>
      <c r="P51" s="40">
        <f>N51+L51+J51+H51+F51+D51+MSMEoutstanding_5!N51+OutstandingAgri_4!L51</f>
        <v>55264.08</v>
      </c>
      <c r="Q51" s="41">
        <f>P51*100/'CD Ratio_3(i)'!F51</f>
        <v>99.592199511374673</v>
      </c>
    </row>
    <row r="52" spans="1:18" ht="14" customHeight="1" x14ac:dyDescent="0.15">
      <c r="A52" s="105">
        <v>42</v>
      </c>
      <c r="B52" s="40" t="s">
        <v>307</v>
      </c>
      <c r="C52" s="286">
        <v>0</v>
      </c>
      <c r="D52" s="286">
        <v>0</v>
      </c>
      <c r="E52" s="286">
        <v>0</v>
      </c>
      <c r="F52" s="286">
        <v>0</v>
      </c>
      <c r="G52" s="286">
        <v>6476</v>
      </c>
      <c r="H52" s="286">
        <v>8451</v>
      </c>
      <c r="I52" s="286">
        <v>0</v>
      </c>
      <c r="J52" s="286">
        <v>0</v>
      </c>
      <c r="K52" s="286">
        <v>0</v>
      </c>
      <c r="L52" s="286">
        <v>0</v>
      </c>
      <c r="M52" s="286">
        <v>163716</v>
      </c>
      <c r="N52" s="286">
        <v>45248</v>
      </c>
      <c r="O52" s="40">
        <f>M52+K52+I52+G52+E52+C52+MSMEoutstanding_5!M52+OutstandingAgri_4!K52</f>
        <v>246358</v>
      </c>
      <c r="P52" s="40">
        <f>N52+L52+J52+H52+F52+D52+MSMEoutstanding_5!N52+OutstandingAgri_4!L52</f>
        <v>79229</v>
      </c>
      <c r="Q52" s="41">
        <f>P52*100/'CD Ratio_3(i)'!F52</f>
        <v>87.03709806764877</v>
      </c>
    </row>
    <row r="53" spans="1:18" ht="14" customHeight="1" x14ac:dyDescent="0.15">
      <c r="A53" s="105">
        <v>43</v>
      </c>
      <c r="B53" s="40" t="s">
        <v>308</v>
      </c>
      <c r="C53" s="286">
        <v>0</v>
      </c>
      <c r="D53" s="286">
        <v>0</v>
      </c>
      <c r="E53" s="286">
        <v>0</v>
      </c>
      <c r="F53" s="286">
        <v>0</v>
      </c>
      <c r="G53" s="286">
        <v>182</v>
      </c>
      <c r="H53" s="286">
        <v>1778.51</v>
      </c>
      <c r="I53" s="286">
        <v>0</v>
      </c>
      <c r="J53" s="286">
        <v>0</v>
      </c>
      <c r="K53" s="286">
        <v>0</v>
      </c>
      <c r="L53" s="286">
        <v>0</v>
      </c>
      <c r="M53" s="286">
        <v>46363</v>
      </c>
      <c r="N53" s="286">
        <v>8693.43</v>
      </c>
      <c r="O53" s="40">
        <f>M53+K53+I53+G53+E53+C53+MSMEoutstanding_5!M53+OutstandingAgri_4!K53</f>
        <v>96408</v>
      </c>
      <c r="P53" s="40">
        <f>N53+L53+J53+H53+F53+D53+MSMEoutstanding_5!N53+OutstandingAgri_4!L53</f>
        <v>21176.75</v>
      </c>
      <c r="Q53" s="41">
        <f>P53*100/'CD Ratio_3(i)'!F53</f>
        <v>81.871495377687324</v>
      </c>
    </row>
    <row r="54" spans="1:18" ht="14" customHeight="1" x14ac:dyDescent="0.15">
      <c r="A54" s="105">
        <v>44</v>
      </c>
      <c r="B54" s="40" t="s">
        <v>300</v>
      </c>
      <c r="C54" s="286">
        <v>0</v>
      </c>
      <c r="D54" s="286">
        <v>0</v>
      </c>
      <c r="E54" s="286">
        <v>0</v>
      </c>
      <c r="F54" s="286">
        <v>0</v>
      </c>
      <c r="G54" s="286">
        <v>3051</v>
      </c>
      <c r="H54" s="286">
        <v>2599.96</v>
      </c>
      <c r="I54" s="286">
        <v>0</v>
      </c>
      <c r="J54" s="286">
        <v>0</v>
      </c>
      <c r="K54" s="286">
        <v>0</v>
      </c>
      <c r="L54" s="286">
        <v>0</v>
      </c>
      <c r="M54" s="286">
        <v>23562</v>
      </c>
      <c r="N54" s="286">
        <v>4435.38</v>
      </c>
      <c r="O54" s="40">
        <f>M54+K54+I54+G54+E54+C54+MSMEoutstanding_5!M54+OutstandingAgri_4!K54</f>
        <v>65422</v>
      </c>
      <c r="P54" s="40">
        <f>N54+L54+J54+H54+F54+D54+MSMEoutstanding_5!N54+OutstandingAgri_4!L54</f>
        <v>15555.720000000001</v>
      </c>
      <c r="Q54" s="41">
        <f>P54*100/'CD Ratio_3(i)'!F54</f>
        <v>75.768610305807528</v>
      </c>
    </row>
    <row r="55" spans="1:18" ht="14" customHeight="1" x14ac:dyDescent="0.15">
      <c r="A55" s="105">
        <v>45</v>
      </c>
      <c r="B55" s="40" t="s">
        <v>309</v>
      </c>
      <c r="C55" s="286">
        <v>0</v>
      </c>
      <c r="D55" s="286">
        <v>0</v>
      </c>
      <c r="E55" s="286">
        <v>0</v>
      </c>
      <c r="F55" s="286">
        <v>0</v>
      </c>
      <c r="G55" s="286">
        <v>29</v>
      </c>
      <c r="H55" s="286">
        <v>419</v>
      </c>
      <c r="I55" s="286">
        <v>0</v>
      </c>
      <c r="J55" s="286">
        <v>0</v>
      </c>
      <c r="K55" s="286">
        <v>0</v>
      </c>
      <c r="L55" s="286">
        <v>0</v>
      </c>
      <c r="M55" s="286">
        <v>65774</v>
      </c>
      <c r="N55" s="286">
        <v>18716</v>
      </c>
      <c r="O55" s="40">
        <f>M55+K55+I55+G55+E55+C55+MSMEoutstanding_5!M55+OutstandingAgri_4!K55</f>
        <v>100612</v>
      </c>
      <c r="P55" s="40">
        <f>N55+L55+J55+H55+F55+D55+MSMEoutstanding_5!N55+OutstandingAgri_4!L55</f>
        <v>28371</v>
      </c>
      <c r="Q55" s="41">
        <f>P55*100/'CD Ratio_3(i)'!F55</f>
        <v>91.997146470378411</v>
      </c>
    </row>
    <row r="56" spans="1:18" s="43" customFormat="1" ht="14" customHeight="1" x14ac:dyDescent="0.15">
      <c r="A56" s="268"/>
      <c r="B56" s="42" t="s">
        <v>310</v>
      </c>
      <c r="C56" s="287">
        <f>SUM(C48:C55)</f>
        <v>0</v>
      </c>
      <c r="D56" s="287">
        <f t="shared" ref="D56:N56" si="5">SUM(D48:D55)</f>
        <v>0</v>
      </c>
      <c r="E56" s="287">
        <f t="shared" si="5"/>
        <v>96</v>
      </c>
      <c r="F56" s="287">
        <f t="shared" si="5"/>
        <v>20.329999999999998</v>
      </c>
      <c r="G56" s="287">
        <f t="shared" si="5"/>
        <v>13480</v>
      </c>
      <c r="H56" s="287">
        <f t="shared" si="5"/>
        <v>36394.31</v>
      </c>
      <c r="I56" s="287">
        <f t="shared" si="5"/>
        <v>85</v>
      </c>
      <c r="J56" s="287">
        <f t="shared" si="5"/>
        <v>2041.22</v>
      </c>
      <c r="K56" s="287">
        <f t="shared" si="5"/>
        <v>0</v>
      </c>
      <c r="L56" s="287">
        <f t="shared" si="5"/>
        <v>0</v>
      </c>
      <c r="M56" s="287">
        <f t="shared" si="5"/>
        <v>457685</v>
      </c>
      <c r="N56" s="287">
        <f t="shared" si="5"/>
        <v>110807.48000000001</v>
      </c>
      <c r="O56" s="42">
        <f>M56+K56+I56+G56+E56+C56+MSMEoutstanding_5!M56+OutstandingAgri_4!K56</f>
        <v>1147095</v>
      </c>
      <c r="P56" s="42">
        <f>N56+L56+J56+H56+F56+D56+MSMEoutstanding_5!N56+OutstandingAgri_4!L56</f>
        <v>743758.42</v>
      </c>
      <c r="Q56" s="39">
        <f>P56*100/'CD Ratio_3(i)'!F56</f>
        <v>82.439526622578001</v>
      </c>
      <c r="R56" s="44"/>
    </row>
    <row r="57" spans="1:18" s="43" customFormat="1" ht="14" customHeight="1" x14ac:dyDescent="0.15">
      <c r="A57" s="42"/>
      <c r="B57" s="42" t="s">
        <v>0</v>
      </c>
      <c r="C57" s="287">
        <f>C56+C47+C45+C42</f>
        <v>39</v>
      </c>
      <c r="D57" s="287">
        <f t="shared" ref="D57:N57" si="6">D56+D47+D45+D42</f>
        <v>25218.440000000002</v>
      </c>
      <c r="E57" s="287">
        <f t="shared" si="6"/>
        <v>68023</v>
      </c>
      <c r="F57" s="287">
        <f t="shared" si="6"/>
        <v>221986.47999999998</v>
      </c>
      <c r="G57" s="287">
        <f t="shared" si="6"/>
        <v>949566</v>
      </c>
      <c r="H57" s="287">
        <f t="shared" si="6"/>
        <v>2846397.77</v>
      </c>
      <c r="I57" s="287">
        <f t="shared" si="6"/>
        <v>3246</v>
      </c>
      <c r="J57" s="287">
        <f t="shared" si="6"/>
        <v>11841.03</v>
      </c>
      <c r="K57" s="287">
        <f t="shared" si="6"/>
        <v>335</v>
      </c>
      <c r="L57" s="287">
        <f t="shared" si="6"/>
        <v>6349.87</v>
      </c>
      <c r="M57" s="287">
        <f t="shared" si="6"/>
        <v>918705</v>
      </c>
      <c r="N57" s="287">
        <f t="shared" si="6"/>
        <v>465469.37</v>
      </c>
      <c r="O57" s="42">
        <f>M57+K57+I57+G57+E57+C57+MSMEoutstanding_5!M57+OutstandingAgri_4!K57</f>
        <v>13127146</v>
      </c>
      <c r="P57" s="42">
        <f>N57+L57+J57+H57+F57+D57+MSMEoutstanding_5!N57+OutstandingAgri_4!L57</f>
        <v>21474799.43</v>
      </c>
      <c r="Q57" s="39">
        <f>P57*100/'CD Ratio_3(i)'!F59</f>
        <v>60.412811096291257</v>
      </c>
      <c r="R57" s="44"/>
    </row>
    <row r="58" spans="1:18" x14ac:dyDescent="0.2">
      <c r="H58" s="151" t="s">
        <v>1074</v>
      </c>
    </row>
    <row r="60" spans="1:18" s="44" customFormat="1" x14ac:dyDescent="0.2">
      <c r="C60" s="135"/>
      <c r="D60" s="135"/>
      <c r="E60" s="37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</row>
    <row r="61" spans="1:18" x14ac:dyDescent="0.2">
      <c r="Q61" s="45"/>
    </row>
    <row r="62" spans="1:18" s="45" customFormat="1" x14ac:dyDescent="0.2">
      <c r="E62" s="46"/>
      <c r="F62" s="46"/>
      <c r="R62" s="44"/>
    </row>
  </sheetData>
  <autoFilter ref="C5:P52" xr:uid="{00000000-0009-0000-0000-000006000000}"/>
  <mergeCells count="12">
    <mergeCell ref="A1:Q1"/>
    <mergeCell ref="Q3:Q5"/>
    <mergeCell ref="M4:N4"/>
    <mergeCell ref="O4:P4"/>
    <mergeCell ref="A3:A5"/>
    <mergeCell ref="B3:B5"/>
    <mergeCell ref="C3:P3"/>
    <mergeCell ref="C4:D4"/>
    <mergeCell ref="E4:F4"/>
    <mergeCell ref="G4:H4"/>
    <mergeCell ref="I4:J4"/>
    <mergeCell ref="K4:L4"/>
  </mergeCells>
  <conditionalFormatting sqref="R1:R1048576">
    <cfRule type="cellIs" dxfId="28" priority="1" operator="greaterThan">
      <formula>35</formula>
    </cfRule>
  </conditionalFormatting>
  <pageMargins left="0.75" right="0" top="1" bottom="0" header="0.3" footer="0.3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S61"/>
  <sheetViews>
    <sheetView view="pageBreakPreview" zoomScale="90" zoomScaleNormal="100" zoomScaleSheetLayoutView="90" workbookViewId="0">
      <pane xSplit="2" ySplit="5" topLeftCell="C14" activePane="bottomRight" state="frozen"/>
      <selection pane="topRight" activeCell="C1" sqref="C1"/>
      <selection pane="bottomLeft" activeCell="A6" sqref="A6"/>
      <selection pane="bottomRight" activeCell="K91" sqref="K91"/>
    </sheetView>
  </sheetViews>
  <sheetFormatPr baseColWidth="10" defaultColWidth="4.3984375" defaultRowHeight="14" x14ac:dyDescent="0.2"/>
  <cols>
    <col min="1" max="1" width="4.3984375" style="36"/>
    <col min="2" max="2" width="22.59765625" style="36" customWidth="1"/>
    <col min="3" max="3" width="11.59765625" style="45" bestFit="1" customWidth="1"/>
    <col min="4" max="4" width="11.19921875" style="45" bestFit="1" customWidth="1"/>
    <col min="5" max="5" width="10.3984375" style="45" customWidth="1"/>
    <col min="6" max="6" width="11.19921875" style="45" bestFit="1" customWidth="1"/>
    <col min="7" max="7" width="8.796875" style="45" customWidth="1"/>
    <col min="8" max="8" width="8" style="45" customWidth="1"/>
    <col min="9" max="9" width="10.59765625" style="45" customWidth="1"/>
    <col min="10" max="10" width="10.3984375" style="45" bestFit="1" customWidth="1"/>
    <col min="11" max="12" width="9.19921875" style="45" bestFit="1" customWidth="1"/>
    <col min="13" max="13" width="7.3984375" style="45" customWidth="1"/>
    <col min="14" max="14" width="7.19921875" style="45" customWidth="1"/>
    <col min="15" max="15" width="10.59765625" style="45" bestFit="1" customWidth="1"/>
    <col min="16" max="16" width="9.796875" style="45" bestFit="1" customWidth="1"/>
    <col min="17" max="17" width="11.796875" style="45" customWidth="1"/>
    <col min="18" max="18" width="11.59765625" style="45" bestFit="1" customWidth="1"/>
    <col min="19" max="19" width="10.19921875" style="44" customWidth="1"/>
    <col min="20" max="16384" width="4.3984375" style="36"/>
  </cols>
  <sheetData>
    <row r="1" spans="1:19" ht="18" x14ac:dyDescent="0.2">
      <c r="A1" s="418" t="s">
        <v>1047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</row>
    <row r="2" spans="1:19" x14ac:dyDescent="0.2">
      <c r="B2" s="43" t="s">
        <v>124</v>
      </c>
      <c r="I2" s="45" t="s">
        <v>132</v>
      </c>
      <c r="L2" s="46" t="s">
        <v>134</v>
      </c>
    </row>
    <row r="3" spans="1:19" ht="13.5" customHeight="1" x14ac:dyDescent="0.2">
      <c r="A3" s="419" t="s">
        <v>110</v>
      </c>
      <c r="B3" s="419" t="s">
        <v>94</v>
      </c>
      <c r="C3" s="411" t="s">
        <v>1048</v>
      </c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</row>
    <row r="4" spans="1:19" ht="85" customHeight="1" x14ac:dyDescent="0.2">
      <c r="A4" s="419"/>
      <c r="B4" s="419"/>
      <c r="C4" s="411" t="s">
        <v>135</v>
      </c>
      <c r="D4" s="411"/>
      <c r="E4" s="411" t="s">
        <v>136</v>
      </c>
      <c r="F4" s="411"/>
      <c r="G4" s="411" t="s">
        <v>137</v>
      </c>
      <c r="H4" s="411"/>
      <c r="I4" s="411" t="s">
        <v>138</v>
      </c>
      <c r="J4" s="411"/>
      <c r="K4" s="411" t="s">
        <v>139</v>
      </c>
      <c r="L4" s="411"/>
      <c r="M4" s="411" t="s">
        <v>140</v>
      </c>
      <c r="N4" s="411"/>
      <c r="O4" s="411" t="s">
        <v>176</v>
      </c>
      <c r="P4" s="411"/>
      <c r="Q4" s="411" t="s">
        <v>141</v>
      </c>
      <c r="R4" s="411"/>
      <c r="S4" s="292" t="s">
        <v>200</v>
      </c>
    </row>
    <row r="5" spans="1:19" x14ac:dyDescent="0.2">
      <c r="A5" s="419"/>
      <c r="B5" s="419"/>
      <c r="C5" s="293" t="s">
        <v>198</v>
      </c>
      <c r="D5" s="293" t="s">
        <v>197</v>
      </c>
      <c r="E5" s="293" t="s">
        <v>198</v>
      </c>
      <c r="F5" s="293" t="s">
        <v>197</v>
      </c>
      <c r="G5" s="293" t="s">
        <v>198</v>
      </c>
      <c r="H5" s="293" t="s">
        <v>197</v>
      </c>
      <c r="I5" s="293" t="s">
        <v>198</v>
      </c>
      <c r="J5" s="293" t="s">
        <v>197</v>
      </c>
      <c r="K5" s="293" t="s">
        <v>198</v>
      </c>
      <c r="L5" s="293" t="s">
        <v>197</v>
      </c>
      <c r="M5" s="293" t="s">
        <v>198</v>
      </c>
      <c r="N5" s="293" t="s">
        <v>197</v>
      </c>
      <c r="O5" s="293" t="s">
        <v>198</v>
      </c>
      <c r="P5" s="293" t="s">
        <v>197</v>
      </c>
      <c r="Q5" s="293" t="s">
        <v>198</v>
      </c>
      <c r="R5" s="293" t="s">
        <v>197</v>
      </c>
      <c r="S5" s="293" t="s">
        <v>15</v>
      </c>
    </row>
    <row r="6" spans="1:19" s="43" customFormat="1" ht="15" customHeight="1" x14ac:dyDescent="0.2">
      <c r="A6" s="105">
        <v>1</v>
      </c>
      <c r="B6" s="40" t="s">
        <v>51</v>
      </c>
      <c r="C6" s="40">
        <v>54978</v>
      </c>
      <c r="D6" s="40">
        <v>47251</v>
      </c>
      <c r="E6" s="40">
        <f>SCST_OS_22!C6+SCST_OS_22!E6</f>
        <v>66365</v>
      </c>
      <c r="F6" s="40">
        <f>SCST_OS_22!D6+SCST_OS_22!F6</f>
        <v>69110</v>
      </c>
      <c r="G6" s="40">
        <f>SHGs_19!E6</f>
        <v>3454</v>
      </c>
      <c r="H6" s="40">
        <f>SHGs_19!F6</f>
        <v>3812</v>
      </c>
      <c r="I6" s="40">
        <f>Minority_OS_20!O6</f>
        <v>33029</v>
      </c>
      <c r="J6" s="40">
        <f>Minority_OS_20!P6</f>
        <v>149936</v>
      </c>
      <c r="K6" s="40">
        <v>10849</v>
      </c>
      <c r="L6" s="40">
        <v>152</v>
      </c>
      <c r="M6" s="40">
        <v>232</v>
      </c>
      <c r="N6" s="40">
        <v>299</v>
      </c>
      <c r="O6" s="40">
        <v>720</v>
      </c>
      <c r="P6" s="40">
        <v>843</v>
      </c>
      <c r="Q6" s="40">
        <f t="shared" ref="Q6:Q17" si="0">C6+E6+G6+I6+K6+M6+O6</f>
        <v>169627</v>
      </c>
      <c r="R6" s="40">
        <f t="shared" ref="R6:R17" si="1">D6+F6+H6+J6+L6+N6+P6</f>
        <v>271403</v>
      </c>
      <c r="S6" s="373">
        <f>R6*100/'CD Ratio_3(i)'!F6</f>
        <v>17.688306034291731</v>
      </c>
    </row>
    <row r="7" spans="1:19" x14ac:dyDescent="0.2">
      <c r="A7" s="105">
        <v>2</v>
      </c>
      <c r="B7" s="40" t="s">
        <v>52</v>
      </c>
      <c r="C7" s="40">
        <v>226607</v>
      </c>
      <c r="D7" s="40">
        <v>369808.83</v>
      </c>
      <c r="E7" s="40">
        <f>SCST_OS_22!C7+SCST_OS_22!E7</f>
        <v>72940</v>
      </c>
      <c r="F7" s="40">
        <f>SCST_OS_22!D7+SCST_OS_22!F7</f>
        <v>114671.41</v>
      </c>
      <c r="G7" s="40">
        <f>SHGs_19!E7</f>
        <v>14538</v>
      </c>
      <c r="H7" s="40">
        <f>SHGs_19!F7</f>
        <v>18845</v>
      </c>
      <c r="I7" s="40">
        <f>Minority_OS_20!O7</f>
        <v>29522</v>
      </c>
      <c r="J7" s="40">
        <f>Minority_OS_20!P7</f>
        <v>87135.86</v>
      </c>
      <c r="K7" s="40">
        <v>1953</v>
      </c>
      <c r="L7" s="40">
        <v>32.51</v>
      </c>
      <c r="M7" s="40">
        <v>259</v>
      </c>
      <c r="N7" s="40">
        <v>100.09</v>
      </c>
      <c r="O7" s="40">
        <v>135227</v>
      </c>
      <c r="P7" s="40">
        <v>186532.86</v>
      </c>
      <c r="Q7" s="40">
        <f t="shared" si="0"/>
        <v>481046</v>
      </c>
      <c r="R7" s="40">
        <f t="shared" si="1"/>
        <v>777126.55999999994</v>
      </c>
      <c r="S7" s="373">
        <f>R7*100/'CD Ratio_3(i)'!F7</f>
        <v>29.616679287592859</v>
      </c>
    </row>
    <row r="8" spans="1:19" x14ac:dyDescent="0.2">
      <c r="A8" s="105">
        <v>3</v>
      </c>
      <c r="B8" s="40" t="s">
        <v>53</v>
      </c>
      <c r="C8" s="40">
        <v>32748</v>
      </c>
      <c r="D8" s="40">
        <v>50601.5</v>
      </c>
      <c r="E8" s="40">
        <f>SCST_OS_22!C8+SCST_OS_22!E8</f>
        <v>17388</v>
      </c>
      <c r="F8" s="40">
        <f>SCST_OS_22!D8+SCST_OS_22!F8</f>
        <v>22542.43</v>
      </c>
      <c r="G8" s="40">
        <f>SHGs_19!E8</f>
        <v>1820</v>
      </c>
      <c r="H8" s="40">
        <f>SHGs_19!F8</f>
        <v>1782</v>
      </c>
      <c r="I8" s="40">
        <f>Minority_OS_20!O8</f>
        <v>7081</v>
      </c>
      <c r="J8" s="40">
        <f>Minority_OS_20!P8</f>
        <v>25744.489999999998</v>
      </c>
      <c r="K8" s="40">
        <v>3471</v>
      </c>
      <c r="L8" s="40">
        <v>38.78</v>
      </c>
      <c r="M8" s="40">
        <v>0</v>
      </c>
      <c r="N8" s="40">
        <v>0</v>
      </c>
      <c r="O8" s="40">
        <v>0</v>
      </c>
      <c r="P8" s="40">
        <v>0</v>
      </c>
      <c r="Q8" s="40">
        <f t="shared" si="0"/>
        <v>62508</v>
      </c>
      <c r="R8" s="40">
        <f t="shared" si="1"/>
        <v>100709.19999999998</v>
      </c>
      <c r="S8" s="373">
        <f>R8*100/'CD Ratio_3(i)'!F8</f>
        <v>18.533328695823716</v>
      </c>
    </row>
    <row r="9" spans="1:19" x14ac:dyDescent="0.2">
      <c r="A9" s="105">
        <v>4</v>
      </c>
      <c r="B9" s="40" t="s">
        <v>54</v>
      </c>
      <c r="C9" s="40">
        <v>61362</v>
      </c>
      <c r="D9" s="40">
        <v>120521</v>
      </c>
      <c r="E9" s="40">
        <f>SCST_OS_22!C9+SCST_OS_22!E9</f>
        <v>27515</v>
      </c>
      <c r="F9" s="40">
        <f>SCST_OS_22!D9+SCST_OS_22!F9</f>
        <v>49196.5</v>
      </c>
      <c r="G9" s="40">
        <f>SHGs_19!E9</f>
        <v>1145</v>
      </c>
      <c r="H9" s="40">
        <f>SHGs_19!F9</f>
        <v>569</v>
      </c>
      <c r="I9" s="40">
        <f>Minority_OS_20!O9</f>
        <v>19433</v>
      </c>
      <c r="J9" s="40">
        <f>Minority_OS_20!P9</f>
        <v>62787.130000000005</v>
      </c>
      <c r="K9" s="40">
        <v>21948</v>
      </c>
      <c r="L9" s="40">
        <v>2261.5</v>
      </c>
      <c r="M9" s="40">
        <v>1524</v>
      </c>
      <c r="N9" s="40">
        <v>120</v>
      </c>
      <c r="O9" s="40">
        <v>12238</v>
      </c>
      <c r="P9" s="40">
        <v>79014</v>
      </c>
      <c r="Q9" s="40">
        <f t="shared" si="0"/>
        <v>145165</v>
      </c>
      <c r="R9" s="40">
        <f t="shared" si="1"/>
        <v>314469.13</v>
      </c>
      <c r="S9" s="373">
        <f>R9*100/'CD Ratio_3(i)'!F9</f>
        <v>20.259089912289181</v>
      </c>
    </row>
    <row r="10" spans="1:19" x14ac:dyDescent="0.2">
      <c r="A10" s="105">
        <v>5</v>
      </c>
      <c r="B10" s="40" t="s">
        <v>55</v>
      </c>
      <c r="C10" s="40">
        <v>228057</v>
      </c>
      <c r="D10" s="40">
        <v>315804</v>
      </c>
      <c r="E10" s="40">
        <f>SCST_OS_22!C10+SCST_OS_22!E10</f>
        <v>115046</v>
      </c>
      <c r="F10" s="40">
        <f>SCST_OS_22!D10+SCST_OS_22!F10</f>
        <v>130306</v>
      </c>
      <c r="G10" s="40">
        <f>SHGs_19!E10</f>
        <v>13783</v>
      </c>
      <c r="H10" s="40">
        <f>SHGs_19!F10</f>
        <v>13904</v>
      </c>
      <c r="I10" s="40">
        <f>Minority_OS_20!O10</f>
        <v>11619</v>
      </c>
      <c r="J10" s="40">
        <f>Minority_OS_20!P10</f>
        <v>37114</v>
      </c>
      <c r="K10" s="40">
        <v>17981</v>
      </c>
      <c r="L10" s="40">
        <v>369</v>
      </c>
      <c r="M10" s="40">
        <v>1530</v>
      </c>
      <c r="N10" s="40">
        <v>1601</v>
      </c>
      <c r="O10" s="40">
        <v>4701</v>
      </c>
      <c r="P10" s="40">
        <v>6624</v>
      </c>
      <c r="Q10" s="40">
        <f t="shared" si="0"/>
        <v>392717</v>
      </c>
      <c r="R10" s="40">
        <f t="shared" si="1"/>
        <v>505722</v>
      </c>
      <c r="S10" s="373">
        <f>R10*100/'CD Ratio_3(i)'!F10</f>
        <v>35.085861921597576</v>
      </c>
    </row>
    <row r="11" spans="1:19" x14ac:dyDescent="0.2">
      <c r="A11" s="105">
        <v>6</v>
      </c>
      <c r="B11" s="40" t="s">
        <v>56</v>
      </c>
      <c r="C11" s="40">
        <v>41904</v>
      </c>
      <c r="D11" s="40">
        <v>93635</v>
      </c>
      <c r="E11" s="40">
        <f>SCST_OS_22!C11+SCST_OS_22!E11</f>
        <v>25698</v>
      </c>
      <c r="F11" s="40">
        <f>SCST_OS_22!D11+SCST_OS_22!F11</f>
        <v>44584</v>
      </c>
      <c r="G11" s="40">
        <f>SHGs_19!E11</f>
        <v>2293</v>
      </c>
      <c r="H11" s="40">
        <f>SHGs_19!F11</f>
        <v>2110</v>
      </c>
      <c r="I11" s="40">
        <f>Minority_OS_20!O11</f>
        <v>9231</v>
      </c>
      <c r="J11" s="40">
        <f>Minority_OS_20!P11</f>
        <v>23316</v>
      </c>
      <c r="K11" s="40">
        <v>31</v>
      </c>
      <c r="L11" s="40">
        <v>0</v>
      </c>
      <c r="M11" s="40">
        <v>41</v>
      </c>
      <c r="N11" s="40">
        <v>5</v>
      </c>
      <c r="O11" s="40">
        <v>210</v>
      </c>
      <c r="P11" s="40">
        <v>140</v>
      </c>
      <c r="Q11" s="40">
        <f t="shared" si="0"/>
        <v>79408</v>
      </c>
      <c r="R11" s="40">
        <f t="shared" si="1"/>
        <v>163790</v>
      </c>
      <c r="S11" s="373">
        <f>R11*100/'CD Ratio_3(i)'!F11</f>
        <v>15.015171933298497</v>
      </c>
    </row>
    <row r="12" spans="1:19" x14ac:dyDescent="0.2">
      <c r="A12" s="105">
        <v>7</v>
      </c>
      <c r="B12" s="40" t="s">
        <v>57</v>
      </c>
      <c r="C12" s="40">
        <v>3122</v>
      </c>
      <c r="D12" s="40">
        <v>6521</v>
      </c>
      <c r="E12" s="40">
        <f>SCST_OS_22!C12+SCST_OS_22!E12</f>
        <v>3778</v>
      </c>
      <c r="F12" s="40">
        <f>SCST_OS_22!D12+SCST_OS_22!F12</f>
        <v>9024</v>
      </c>
      <c r="G12" s="40">
        <f>SHGs_19!E12</f>
        <v>37</v>
      </c>
      <c r="H12" s="40">
        <f>SHGs_19!F12</f>
        <v>27.79</v>
      </c>
      <c r="I12" s="40">
        <f>Minority_OS_20!O12</f>
        <v>446</v>
      </c>
      <c r="J12" s="40">
        <f>Minority_OS_20!P12</f>
        <v>709.35</v>
      </c>
      <c r="K12" s="40">
        <v>0</v>
      </c>
      <c r="L12" s="40">
        <v>0</v>
      </c>
      <c r="M12" s="40">
        <v>91</v>
      </c>
      <c r="N12" s="40">
        <v>1.81</v>
      </c>
      <c r="O12" s="40">
        <v>0</v>
      </c>
      <c r="P12" s="40">
        <v>0</v>
      </c>
      <c r="Q12" s="40">
        <f t="shared" si="0"/>
        <v>7474</v>
      </c>
      <c r="R12" s="40">
        <f t="shared" si="1"/>
        <v>16283.95</v>
      </c>
      <c r="S12" s="373">
        <f>R12*100/'CD Ratio_3(i)'!F12</f>
        <v>15.215942963399023</v>
      </c>
    </row>
    <row r="13" spans="1:19" x14ac:dyDescent="0.2">
      <c r="A13" s="105">
        <v>8</v>
      </c>
      <c r="B13" s="40" t="s">
        <v>178</v>
      </c>
      <c r="C13" s="40">
        <v>1858</v>
      </c>
      <c r="D13" s="40">
        <v>1547</v>
      </c>
      <c r="E13" s="40">
        <f>SCST_OS_22!C13+SCST_OS_22!E13</f>
        <v>1250</v>
      </c>
      <c r="F13" s="40">
        <f>SCST_OS_22!D13+SCST_OS_22!F13</f>
        <v>2426</v>
      </c>
      <c r="G13" s="40">
        <f>SHGs_19!E13</f>
        <v>61</v>
      </c>
      <c r="H13" s="40">
        <f>SHGs_19!F13</f>
        <v>167</v>
      </c>
      <c r="I13" s="40">
        <f>Minority_OS_20!O13</f>
        <v>1016</v>
      </c>
      <c r="J13" s="40">
        <f>Minority_OS_20!P13</f>
        <v>5571</v>
      </c>
      <c r="K13" s="40">
        <v>1792</v>
      </c>
      <c r="L13" s="40">
        <v>35</v>
      </c>
      <c r="M13" s="40">
        <v>0</v>
      </c>
      <c r="N13" s="40">
        <v>0</v>
      </c>
      <c r="O13" s="40">
        <v>2841</v>
      </c>
      <c r="P13" s="40">
        <v>1838</v>
      </c>
      <c r="Q13" s="40">
        <f t="shared" si="0"/>
        <v>8818</v>
      </c>
      <c r="R13" s="40">
        <f t="shared" si="1"/>
        <v>11584</v>
      </c>
      <c r="S13" s="373">
        <f>R13*100/'CD Ratio_3(i)'!F13</f>
        <v>12.176764916116554</v>
      </c>
    </row>
    <row r="14" spans="1:19" x14ac:dyDescent="0.2">
      <c r="A14" s="105">
        <v>9</v>
      </c>
      <c r="B14" s="40" t="s">
        <v>58</v>
      </c>
      <c r="C14" s="40">
        <v>195967</v>
      </c>
      <c r="D14" s="40">
        <v>244108.32</v>
      </c>
      <c r="E14" s="40">
        <f>SCST_OS_22!C14+SCST_OS_22!E14</f>
        <v>38907</v>
      </c>
      <c r="F14" s="40">
        <f>SCST_OS_22!D14+SCST_OS_22!F14</f>
        <v>55509.67</v>
      </c>
      <c r="G14" s="40">
        <f>SHGs_19!E14</f>
        <v>4062</v>
      </c>
      <c r="H14" s="40">
        <f>SHGs_19!F14</f>
        <v>3254.82</v>
      </c>
      <c r="I14" s="40">
        <f>Minority_OS_20!O14</f>
        <v>13815</v>
      </c>
      <c r="J14" s="40">
        <f>Minority_OS_20!P14</f>
        <v>35292.49</v>
      </c>
      <c r="K14" s="40">
        <v>867</v>
      </c>
      <c r="L14" s="40">
        <v>7.54</v>
      </c>
      <c r="M14" s="40">
        <v>0</v>
      </c>
      <c r="N14" s="40">
        <v>0</v>
      </c>
      <c r="O14" s="40">
        <v>0</v>
      </c>
      <c r="P14" s="40">
        <v>0</v>
      </c>
      <c r="Q14" s="40">
        <f t="shared" si="0"/>
        <v>253618</v>
      </c>
      <c r="R14" s="40">
        <f t="shared" si="1"/>
        <v>338172.83999999997</v>
      </c>
      <c r="S14" s="373">
        <f>R14*100/'CD Ratio_3(i)'!F14</f>
        <v>13.57086692379278</v>
      </c>
    </row>
    <row r="15" spans="1:19" x14ac:dyDescent="0.2">
      <c r="A15" s="105">
        <v>10</v>
      </c>
      <c r="B15" s="40" t="s">
        <v>64</v>
      </c>
      <c r="C15" s="40">
        <v>278314</v>
      </c>
      <c r="D15" s="40">
        <v>457280</v>
      </c>
      <c r="E15" s="40">
        <f>SCST_OS_22!C15+SCST_OS_22!E15</f>
        <v>255508</v>
      </c>
      <c r="F15" s="40">
        <f>SCST_OS_22!D15+SCST_OS_22!F15</f>
        <v>617436</v>
      </c>
      <c r="G15" s="40">
        <f>SHGs_19!E15</f>
        <v>4602</v>
      </c>
      <c r="H15" s="40">
        <f>SHGs_19!F15</f>
        <v>9148</v>
      </c>
      <c r="I15" s="40">
        <f>Minority_OS_20!O15</f>
        <v>55866</v>
      </c>
      <c r="J15" s="40">
        <f>Minority_OS_20!P15</f>
        <v>167893</v>
      </c>
      <c r="K15" s="40">
        <v>133789</v>
      </c>
      <c r="L15" s="40">
        <v>3337</v>
      </c>
      <c r="M15" s="40">
        <v>270</v>
      </c>
      <c r="N15" s="40">
        <v>445</v>
      </c>
      <c r="O15" s="40">
        <v>4734</v>
      </c>
      <c r="P15" s="40">
        <v>3609</v>
      </c>
      <c r="Q15" s="40">
        <f t="shared" si="0"/>
        <v>733083</v>
      </c>
      <c r="R15" s="40">
        <f t="shared" si="1"/>
        <v>1259148</v>
      </c>
      <c r="S15" s="373">
        <f>R15*100/'CD Ratio_3(i)'!F15</f>
        <v>17.704065283905944</v>
      </c>
    </row>
    <row r="16" spans="1:19" x14ac:dyDescent="0.2">
      <c r="A16" s="105">
        <v>11</v>
      </c>
      <c r="B16" s="40" t="s">
        <v>179</v>
      </c>
      <c r="C16" s="40">
        <v>6089</v>
      </c>
      <c r="D16" s="40">
        <v>1594</v>
      </c>
      <c r="E16" s="40">
        <f>SCST_OS_22!C16+SCST_OS_22!E16</f>
        <v>14746</v>
      </c>
      <c r="F16" s="40">
        <f>SCST_OS_22!D16+SCST_OS_22!F16</f>
        <v>22870</v>
      </c>
      <c r="G16" s="40">
        <f>SHGs_19!E16</f>
        <v>385</v>
      </c>
      <c r="H16" s="40">
        <f>SHGs_19!F16</f>
        <v>752</v>
      </c>
      <c r="I16" s="40">
        <f>Minority_OS_20!O16</f>
        <v>6685</v>
      </c>
      <c r="J16" s="40">
        <f>Minority_OS_20!P16</f>
        <v>16493</v>
      </c>
      <c r="K16" s="40">
        <v>9993</v>
      </c>
      <c r="L16" s="40">
        <v>2264</v>
      </c>
      <c r="M16" s="40">
        <v>170</v>
      </c>
      <c r="N16" s="40">
        <v>19</v>
      </c>
      <c r="O16" s="40">
        <v>38452</v>
      </c>
      <c r="P16" s="40">
        <v>92164</v>
      </c>
      <c r="Q16" s="40">
        <f t="shared" si="0"/>
        <v>76520</v>
      </c>
      <c r="R16" s="40">
        <f t="shared" si="1"/>
        <v>136156</v>
      </c>
      <c r="S16" s="373">
        <f>R16*100/'CD Ratio_3(i)'!F16</f>
        <v>22.91868307963702</v>
      </c>
    </row>
    <row r="17" spans="1:19" x14ac:dyDescent="0.2">
      <c r="A17" s="105">
        <v>12</v>
      </c>
      <c r="B17" s="40" t="s">
        <v>60</v>
      </c>
      <c r="C17" s="40">
        <v>133159</v>
      </c>
      <c r="D17" s="40">
        <v>264454</v>
      </c>
      <c r="E17" s="40">
        <f>SCST_OS_22!C17+SCST_OS_22!E17</f>
        <v>53487</v>
      </c>
      <c r="F17" s="40">
        <f>SCST_OS_22!D17+SCST_OS_22!F17</f>
        <v>85022</v>
      </c>
      <c r="G17" s="40">
        <f>SHGs_19!E17</f>
        <v>6919</v>
      </c>
      <c r="H17" s="40">
        <f>SHGs_19!F17</f>
        <v>4588</v>
      </c>
      <c r="I17" s="40">
        <f>Minority_OS_20!O17</f>
        <v>19322</v>
      </c>
      <c r="J17" s="40">
        <f>Minority_OS_20!P17</f>
        <v>74589</v>
      </c>
      <c r="K17" s="40">
        <v>16926</v>
      </c>
      <c r="L17" s="40">
        <v>47</v>
      </c>
      <c r="M17" s="40">
        <v>126</v>
      </c>
      <c r="N17" s="40">
        <v>32</v>
      </c>
      <c r="O17" s="40">
        <v>7851</v>
      </c>
      <c r="P17" s="40">
        <v>31998</v>
      </c>
      <c r="Q17" s="40">
        <f t="shared" si="0"/>
        <v>237790</v>
      </c>
      <c r="R17" s="40">
        <f t="shared" si="1"/>
        <v>460730</v>
      </c>
      <c r="S17" s="373">
        <f>R17*100/'CD Ratio_3(i)'!F17</f>
        <v>28.441317289861551</v>
      </c>
    </row>
    <row r="18" spans="1:19" s="43" customFormat="1" x14ac:dyDescent="0.2">
      <c r="A18" s="293"/>
      <c r="B18" s="42" t="s">
        <v>215</v>
      </c>
      <c r="C18" s="42">
        <f>SUM(C6:C17)</f>
        <v>1264165</v>
      </c>
      <c r="D18" s="42">
        <f t="shared" ref="D18:R18" si="2">SUM(D6:D17)</f>
        <v>1973125.6500000001</v>
      </c>
      <c r="E18" s="42">
        <f t="shared" si="2"/>
        <v>692628</v>
      </c>
      <c r="F18" s="42">
        <f t="shared" si="2"/>
        <v>1222698.01</v>
      </c>
      <c r="G18" s="42">
        <f t="shared" si="2"/>
        <v>53099</v>
      </c>
      <c r="H18" s="42">
        <f t="shared" si="2"/>
        <v>58959.61</v>
      </c>
      <c r="I18" s="42">
        <f t="shared" si="2"/>
        <v>207065</v>
      </c>
      <c r="J18" s="42">
        <f t="shared" si="2"/>
        <v>686581.32</v>
      </c>
      <c r="K18" s="42">
        <f t="shared" si="2"/>
        <v>219600</v>
      </c>
      <c r="L18" s="42">
        <f t="shared" si="2"/>
        <v>8544.33</v>
      </c>
      <c r="M18" s="42">
        <f t="shared" si="2"/>
        <v>4243</v>
      </c>
      <c r="N18" s="42">
        <f t="shared" si="2"/>
        <v>2622.9</v>
      </c>
      <c r="O18" s="42">
        <f t="shared" si="2"/>
        <v>206974</v>
      </c>
      <c r="P18" s="42">
        <f t="shared" si="2"/>
        <v>402762.86</v>
      </c>
      <c r="Q18" s="42">
        <f t="shared" si="2"/>
        <v>2647774</v>
      </c>
      <c r="R18" s="42">
        <f t="shared" si="2"/>
        <v>4355294.68</v>
      </c>
      <c r="S18" s="374">
        <f>R18*100/'CD Ratio_3(i)'!F18</f>
        <v>20.932450515658736</v>
      </c>
    </row>
    <row r="19" spans="1:19" x14ac:dyDescent="0.2">
      <c r="A19" s="105">
        <v>13</v>
      </c>
      <c r="B19" s="40" t="s">
        <v>41</v>
      </c>
      <c r="C19" s="40">
        <v>46351</v>
      </c>
      <c r="D19" s="40">
        <v>103153.53</v>
      </c>
      <c r="E19" s="40">
        <f>SCST_OS_22!C19+SCST_OS_22!E19</f>
        <v>47172</v>
      </c>
      <c r="F19" s="40">
        <f>SCST_OS_22!D19+SCST_OS_22!F19</f>
        <v>20959.11</v>
      </c>
      <c r="G19" s="40">
        <f>SHGs_19!E19</f>
        <v>21</v>
      </c>
      <c r="H19" s="40">
        <f>SHGs_19!F19</f>
        <v>35.44</v>
      </c>
      <c r="I19" s="40">
        <f>Minority_OS_20!O19</f>
        <v>7147</v>
      </c>
      <c r="J19" s="40">
        <f>Minority_OS_20!P19</f>
        <v>19505.489999999998</v>
      </c>
      <c r="K19" s="40">
        <v>0</v>
      </c>
      <c r="L19" s="40">
        <v>0</v>
      </c>
      <c r="M19" s="40">
        <v>0</v>
      </c>
      <c r="N19" s="40">
        <v>0</v>
      </c>
      <c r="O19" s="40">
        <v>108989</v>
      </c>
      <c r="P19" s="40">
        <v>23356.02</v>
      </c>
      <c r="Q19" s="40">
        <f t="shared" ref="Q19:Q40" si="3">C19+E19+G19+I19+K19+M19+O19</f>
        <v>209680</v>
      </c>
      <c r="R19" s="40">
        <f t="shared" ref="R19:R40" si="4">D19+F19+H19+J19+L19+N19+P19</f>
        <v>167009.59</v>
      </c>
      <c r="S19" s="373">
        <f>R19*100/'CD Ratio_3(i)'!F19</f>
        <v>13.987720441458265</v>
      </c>
    </row>
    <row r="20" spans="1:19" x14ac:dyDescent="0.2">
      <c r="A20" s="105">
        <v>14</v>
      </c>
      <c r="B20" s="40" t="s">
        <v>180</v>
      </c>
      <c r="C20" s="40">
        <v>213914</v>
      </c>
      <c r="D20" s="40">
        <v>76856.02</v>
      </c>
      <c r="E20" s="40">
        <f>SCST_OS_22!C20+SCST_OS_22!E20</f>
        <v>87787</v>
      </c>
      <c r="F20" s="40">
        <f>SCST_OS_22!D20+SCST_OS_22!F20</f>
        <v>30227.239999999998</v>
      </c>
      <c r="G20" s="40">
        <f>SHGs_19!E20</f>
        <v>0</v>
      </c>
      <c r="H20" s="40">
        <f>SHGs_19!F20</f>
        <v>0</v>
      </c>
      <c r="I20" s="40">
        <f>Minority_OS_20!O20</f>
        <v>123938</v>
      </c>
      <c r="J20" s="40">
        <f>Minority_OS_20!P20</f>
        <v>49410.27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f t="shared" si="3"/>
        <v>425639</v>
      </c>
      <c r="R20" s="40">
        <f t="shared" si="4"/>
        <v>156493.53</v>
      </c>
      <c r="S20" s="373">
        <f>R20*100/'CD Ratio_3(i)'!F20</f>
        <v>24.34267812977847</v>
      </c>
    </row>
    <row r="21" spans="1:19" s="43" customFormat="1" x14ac:dyDescent="0.2">
      <c r="A21" s="105">
        <v>15</v>
      </c>
      <c r="B21" s="40" t="s">
        <v>181</v>
      </c>
      <c r="C21" s="40">
        <v>0</v>
      </c>
      <c r="D21" s="40">
        <v>0</v>
      </c>
      <c r="E21" s="40">
        <f>SCST_OS_22!C21+SCST_OS_22!E21</f>
        <v>44</v>
      </c>
      <c r="F21" s="40">
        <f>SCST_OS_22!D21+SCST_OS_22!F21</f>
        <v>78</v>
      </c>
      <c r="G21" s="40">
        <f>SHGs_19!E21</f>
        <v>0</v>
      </c>
      <c r="H21" s="40">
        <f>SHGs_19!F21</f>
        <v>0</v>
      </c>
      <c r="I21" s="40">
        <f>Minority_OS_20!O21</f>
        <v>178</v>
      </c>
      <c r="J21" s="40">
        <f>Minority_OS_20!P21</f>
        <v>337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f t="shared" si="3"/>
        <v>222</v>
      </c>
      <c r="R21" s="40">
        <f t="shared" si="4"/>
        <v>415</v>
      </c>
      <c r="S21" s="373">
        <f>R21*100/'CD Ratio_3(i)'!F21</f>
        <v>22.086216072378924</v>
      </c>
    </row>
    <row r="22" spans="1:19" x14ac:dyDescent="0.2">
      <c r="A22" s="105">
        <v>16</v>
      </c>
      <c r="B22" s="40" t="s">
        <v>45</v>
      </c>
      <c r="C22" s="40">
        <v>3</v>
      </c>
      <c r="D22" s="40">
        <v>6</v>
      </c>
      <c r="E22" s="40">
        <f>SCST_OS_22!C22+SCST_OS_22!E22</f>
        <v>0</v>
      </c>
      <c r="F22" s="40">
        <f>SCST_OS_22!D22+SCST_OS_22!F22</f>
        <v>0</v>
      </c>
      <c r="G22" s="40">
        <f>SHGs_19!E22</f>
        <v>0</v>
      </c>
      <c r="H22" s="40">
        <f>SHGs_19!F22</f>
        <v>0</v>
      </c>
      <c r="I22" s="40">
        <f>Minority_OS_20!O22</f>
        <v>3</v>
      </c>
      <c r="J22" s="40">
        <f>Minority_OS_20!P22</f>
        <v>19.95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f t="shared" si="3"/>
        <v>6</v>
      </c>
      <c r="R22" s="40">
        <f t="shared" si="4"/>
        <v>25.95</v>
      </c>
      <c r="S22" s="373">
        <f>R22*100/'CD Ratio_3(i)'!F22</f>
        <v>0.20947792772648235</v>
      </c>
    </row>
    <row r="23" spans="1:19" x14ac:dyDescent="0.2">
      <c r="A23" s="105">
        <v>17</v>
      </c>
      <c r="B23" s="40" t="s">
        <v>182</v>
      </c>
      <c r="C23" s="40">
        <v>65194</v>
      </c>
      <c r="D23" s="40">
        <v>20776</v>
      </c>
      <c r="E23" s="40">
        <f>SCST_OS_22!C23+SCST_OS_22!E23</f>
        <v>230</v>
      </c>
      <c r="F23" s="40">
        <f>SCST_OS_22!D23+SCST_OS_22!F23</f>
        <v>443</v>
      </c>
      <c r="G23" s="40">
        <f>SHGs_19!E23</f>
        <v>0</v>
      </c>
      <c r="H23" s="40">
        <f>SHGs_19!F23</f>
        <v>0</v>
      </c>
      <c r="I23" s="40">
        <f>Minority_OS_20!O23</f>
        <v>6466</v>
      </c>
      <c r="J23" s="40">
        <f>Minority_OS_20!P23</f>
        <v>4756</v>
      </c>
      <c r="K23" s="40">
        <v>0</v>
      </c>
      <c r="L23" s="40">
        <v>0</v>
      </c>
      <c r="M23" s="40">
        <v>0</v>
      </c>
      <c r="N23" s="40">
        <v>0</v>
      </c>
      <c r="O23" s="40">
        <v>9474</v>
      </c>
      <c r="P23" s="40">
        <v>1236</v>
      </c>
      <c r="Q23" s="40">
        <f t="shared" si="3"/>
        <v>81364</v>
      </c>
      <c r="R23" s="40">
        <f t="shared" si="4"/>
        <v>27211</v>
      </c>
      <c r="S23" s="373">
        <f>R23*100/'CD Ratio_3(i)'!F23</f>
        <v>25.286448411407754</v>
      </c>
    </row>
    <row r="24" spans="1:19" x14ac:dyDescent="0.2">
      <c r="A24" s="105">
        <v>18</v>
      </c>
      <c r="B24" s="40" t="s">
        <v>183</v>
      </c>
      <c r="C24" s="40">
        <v>0</v>
      </c>
      <c r="D24" s="40">
        <v>0</v>
      </c>
      <c r="E24" s="40">
        <f>SCST_OS_22!C24+SCST_OS_22!E24</f>
        <v>0</v>
      </c>
      <c r="F24" s="40">
        <f>SCST_OS_22!D24+SCST_OS_22!F24</f>
        <v>0</v>
      </c>
      <c r="G24" s="40">
        <f>SHGs_19!E24</f>
        <v>0</v>
      </c>
      <c r="H24" s="40">
        <f>SHGs_19!F24</f>
        <v>0</v>
      </c>
      <c r="I24" s="40">
        <f>Minority_OS_20!O24</f>
        <v>9</v>
      </c>
      <c r="J24" s="40">
        <f>Minority_OS_20!P24</f>
        <v>14.59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f t="shared" si="3"/>
        <v>9</v>
      </c>
      <c r="R24" s="40">
        <f t="shared" si="4"/>
        <v>14.59</v>
      </c>
      <c r="S24" s="373">
        <f>R24*100/'CD Ratio_3(i)'!F24</f>
        <v>2.7843511450381677</v>
      </c>
    </row>
    <row r="25" spans="1:19" x14ac:dyDescent="0.2">
      <c r="A25" s="105">
        <v>19</v>
      </c>
      <c r="B25" s="40" t="s">
        <v>184</v>
      </c>
      <c r="C25" s="40">
        <v>6017</v>
      </c>
      <c r="D25" s="40">
        <v>8916</v>
      </c>
      <c r="E25" s="40">
        <f>SCST_OS_22!C25+SCST_OS_22!E25</f>
        <v>250</v>
      </c>
      <c r="F25" s="40">
        <f>SCST_OS_22!D25+SCST_OS_22!F25</f>
        <v>478</v>
      </c>
      <c r="G25" s="40">
        <f>SHGs_19!E25</f>
        <v>0</v>
      </c>
      <c r="H25" s="40">
        <f>SHGs_19!F25</f>
        <v>0</v>
      </c>
      <c r="I25" s="40">
        <f>Minority_OS_20!O25</f>
        <v>438</v>
      </c>
      <c r="J25" s="40">
        <f>Minority_OS_20!P25</f>
        <v>2079</v>
      </c>
      <c r="K25" s="40">
        <v>0</v>
      </c>
      <c r="L25" s="40">
        <v>0</v>
      </c>
      <c r="M25" s="40">
        <v>0</v>
      </c>
      <c r="N25" s="40">
        <v>0</v>
      </c>
      <c r="O25" s="40">
        <v>654</v>
      </c>
      <c r="P25" s="40">
        <v>3216</v>
      </c>
      <c r="Q25" s="40">
        <f t="shared" si="3"/>
        <v>7359</v>
      </c>
      <c r="R25" s="40">
        <f t="shared" si="4"/>
        <v>14689</v>
      </c>
      <c r="S25" s="373">
        <f>R25*100/'CD Ratio_3(i)'!F25</f>
        <v>31.337201860306354</v>
      </c>
    </row>
    <row r="26" spans="1:19" x14ac:dyDescent="0.2">
      <c r="A26" s="105">
        <v>20</v>
      </c>
      <c r="B26" s="40" t="s">
        <v>65</v>
      </c>
      <c r="C26" s="40">
        <v>14327</v>
      </c>
      <c r="D26" s="40">
        <v>24554.99</v>
      </c>
      <c r="E26" s="40">
        <f>SCST_OS_22!C26+SCST_OS_22!E26</f>
        <v>1995</v>
      </c>
      <c r="F26" s="40">
        <f>SCST_OS_22!D26+SCST_OS_22!F26</f>
        <v>8121.5499999999993</v>
      </c>
      <c r="G26" s="40">
        <f>SHGs_19!E26</f>
        <v>1272</v>
      </c>
      <c r="H26" s="40">
        <f>SHGs_19!F26</f>
        <v>1935</v>
      </c>
      <c r="I26" s="40">
        <f>Minority_OS_20!O26</f>
        <v>4057</v>
      </c>
      <c r="J26" s="40">
        <f>Minority_OS_20!P26</f>
        <v>18121.329999999998</v>
      </c>
      <c r="K26" s="40">
        <v>0</v>
      </c>
      <c r="L26" s="40">
        <v>0</v>
      </c>
      <c r="M26" s="40">
        <v>0</v>
      </c>
      <c r="N26" s="40">
        <v>0</v>
      </c>
      <c r="O26" s="40">
        <v>248356</v>
      </c>
      <c r="P26" s="40">
        <v>41599.599999999999</v>
      </c>
      <c r="Q26" s="40">
        <f t="shared" si="3"/>
        <v>270007</v>
      </c>
      <c r="R26" s="40">
        <f t="shared" si="4"/>
        <v>94332.47</v>
      </c>
      <c r="S26" s="373">
        <f>R26*100/'CD Ratio_3(i)'!F26</f>
        <v>3.9004419267334587</v>
      </c>
    </row>
    <row r="27" spans="1:19" x14ac:dyDescent="0.2">
      <c r="A27" s="105">
        <v>21</v>
      </c>
      <c r="B27" s="40" t="s">
        <v>66</v>
      </c>
      <c r="C27" s="40">
        <v>61107</v>
      </c>
      <c r="D27" s="40">
        <v>11177</v>
      </c>
      <c r="E27" s="40">
        <f>SCST_OS_22!C27+SCST_OS_22!E27</f>
        <v>20692</v>
      </c>
      <c r="F27" s="40">
        <f>SCST_OS_22!D27+SCST_OS_22!F27</f>
        <v>55266</v>
      </c>
      <c r="G27" s="40">
        <f>SHGs_19!E27</f>
        <v>5176</v>
      </c>
      <c r="H27" s="40">
        <f>SHGs_19!F27</f>
        <v>4947</v>
      </c>
      <c r="I27" s="40">
        <f>Minority_OS_20!O27</f>
        <v>16402</v>
      </c>
      <c r="J27" s="40">
        <f>Minority_OS_20!P27</f>
        <v>84742</v>
      </c>
      <c r="K27" s="40">
        <v>0</v>
      </c>
      <c r="L27" s="40">
        <v>0</v>
      </c>
      <c r="M27" s="40">
        <v>0</v>
      </c>
      <c r="N27" s="40">
        <v>0</v>
      </c>
      <c r="O27" s="40">
        <v>3297</v>
      </c>
      <c r="P27" s="40">
        <v>76630</v>
      </c>
      <c r="Q27" s="40">
        <f t="shared" si="3"/>
        <v>106674</v>
      </c>
      <c r="R27" s="40">
        <f t="shared" si="4"/>
        <v>232762</v>
      </c>
      <c r="S27" s="373">
        <f>R27*100/'CD Ratio_3(i)'!F27</f>
        <v>10.258754089516954</v>
      </c>
    </row>
    <row r="28" spans="1:19" x14ac:dyDescent="0.2">
      <c r="A28" s="105">
        <v>22</v>
      </c>
      <c r="B28" s="40" t="s">
        <v>75</v>
      </c>
      <c r="C28" s="40">
        <v>19183</v>
      </c>
      <c r="D28" s="40">
        <v>31139</v>
      </c>
      <c r="E28" s="40">
        <f>SCST_OS_22!C28+SCST_OS_22!E28</f>
        <v>9349</v>
      </c>
      <c r="F28" s="40">
        <f>SCST_OS_22!D28+SCST_OS_22!F28</f>
        <v>11747</v>
      </c>
      <c r="G28" s="40">
        <f>SHGs_19!E28</f>
        <v>142</v>
      </c>
      <c r="H28" s="40">
        <f>SHGs_19!F28</f>
        <v>271</v>
      </c>
      <c r="I28" s="40">
        <f>Minority_OS_20!O28</f>
        <v>6923</v>
      </c>
      <c r="J28" s="40">
        <f>Minority_OS_20!P28</f>
        <v>18314.55</v>
      </c>
      <c r="K28" s="40">
        <v>2</v>
      </c>
      <c r="L28" s="40">
        <v>0.08</v>
      </c>
      <c r="M28" s="40">
        <v>0</v>
      </c>
      <c r="N28" s="40">
        <v>0</v>
      </c>
      <c r="O28" s="40">
        <v>6032</v>
      </c>
      <c r="P28" s="40">
        <v>3850</v>
      </c>
      <c r="Q28" s="40">
        <f t="shared" si="3"/>
        <v>41631</v>
      </c>
      <c r="R28" s="40">
        <f t="shared" si="4"/>
        <v>65321.630000000005</v>
      </c>
      <c r="S28" s="373">
        <f>R28*100/'CD Ratio_3(i)'!F28</f>
        <v>23.134247535938293</v>
      </c>
    </row>
    <row r="29" spans="1:19" x14ac:dyDescent="0.2">
      <c r="A29" s="105">
        <v>23</v>
      </c>
      <c r="B29" s="40" t="s">
        <v>379</v>
      </c>
      <c r="C29" s="40">
        <v>0</v>
      </c>
      <c r="D29" s="40">
        <v>0</v>
      </c>
      <c r="E29" s="40">
        <f>SCST_OS_22!C29+SCST_OS_22!E29</f>
        <v>2280</v>
      </c>
      <c r="F29" s="40">
        <f>SCST_OS_22!D29+SCST_OS_22!F29</f>
        <v>1939</v>
      </c>
      <c r="G29" s="40">
        <f>SHGs_19!E29</f>
        <v>0</v>
      </c>
      <c r="H29" s="40">
        <f>SHGs_19!F29</f>
        <v>0</v>
      </c>
      <c r="I29" s="40">
        <f>Minority_OS_20!O29</f>
        <v>11</v>
      </c>
      <c r="J29" s="40">
        <f>Minority_OS_20!P29</f>
        <v>48</v>
      </c>
      <c r="K29" s="40">
        <v>0</v>
      </c>
      <c r="L29" s="40">
        <v>0</v>
      </c>
      <c r="M29" s="40">
        <v>0</v>
      </c>
      <c r="N29" s="40">
        <v>0</v>
      </c>
      <c r="O29" s="40">
        <v>155570</v>
      </c>
      <c r="P29" s="40">
        <v>30428</v>
      </c>
      <c r="Q29" s="40">
        <f t="shared" si="3"/>
        <v>157861</v>
      </c>
      <c r="R29" s="40">
        <f t="shared" si="4"/>
        <v>32415</v>
      </c>
      <c r="S29" s="373">
        <f>R29*100/'CD Ratio_3(i)'!F29</f>
        <v>9.8403205731459273</v>
      </c>
    </row>
    <row r="30" spans="1:19" x14ac:dyDescent="0.2">
      <c r="A30" s="105">
        <v>24</v>
      </c>
      <c r="B30" s="40" t="s">
        <v>185</v>
      </c>
      <c r="C30" s="40">
        <v>321383</v>
      </c>
      <c r="D30" s="40">
        <v>136214</v>
      </c>
      <c r="E30" s="40">
        <f>SCST_OS_22!C30+SCST_OS_22!E30</f>
        <v>310325</v>
      </c>
      <c r="F30" s="40">
        <f>SCST_OS_22!D30+SCST_OS_22!F30</f>
        <v>71934</v>
      </c>
      <c r="G30" s="40">
        <f>SHGs_19!E30</f>
        <v>0</v>
      </c>
      <c r="H30" s="40">
        <f>SHGs_19!F30</f>
        <v>0</v>
      </c>
      <c r="I30" s="40">
        <f>Minority_OS_20!O30</f>
        <v>85570</v>
      </c>
      <c r="J30" s="40">
        <f>Minority_OS_20!P30</f>
        <v>33285</v>
      </c>
      <c r="K30" s="40">
        <v>0</v>
      </c>
      <c r="L30" s="40">
        <v>0</v>
      </c>
      <c r="M30" s="40">
        <v>0</v>
      </c>
      <c r="N30" s="40">
        <v>0</v>
      </c>
      <c r="O30" s="40">
        <v>8709</v>
      </c>
      <c r="P30" s="40">
        <v>193035</v>
      </c>
      <c r="Q30" s="40">
        <f t="shared" si="3"/>
        <v>725987</v>
      </c>
      <c r="R30" s="40">
        <f t="shared" si="4"/>
        <v>434468</v>
      </c>
      <c r="S30" s="373">
        <f>R30*100/'CD Ratio_3(i)'!F30</f>
        <v>73.111866871069637</v>
      </c>
    </row>
    <row r="31" spans="1:19" x14ac:dyDescent="0.2">
      <c r="A31" s="105">
        <v>25</v>
      </c>
      <c r="B31" s="40" t="s">
        <v>186</v>
      </c>
      <c r="C31" s="40">
        <v>0</v>
      </c>
      <c r="D31" s="40">
        <v>0</v>
      </c>
      <c r="E31" s="40">
        <f>SCST_OS_22!C31+SCST_OS_22!E31</f>
        <v>12</v>
      </c>
      <c r="F31" s="40">
        <f>SCST_OS_22!D31+SCST_OS_22!F31</f>
        <v>10</v>
      </c>
      <c r="G31" s="40">
        <f>SHGs_19!E31</f>
        <v>0</v>
      </c>
      <c r="H31" s="40">
        <f>SHGs_19!F31</f>
        <v>0</v>
      </c>
      <c r="I31" s="40">
        <f>Minority_OS_20!O31</f>
        <v>204</v>
      </c>
      <c r="J31" s="40">
        <f>Minority_OS_20!P31</f>
        <v>921.95</v>
      </c>
      <c r="K31" s="40">
        <v>0</v>
      </c>
      <c r="L31" s="40">
        <v>0</v>
      </c>
      <c r="M31" s="40">
        <v>60</v>
      </c>
      <c r="N31" s="40">
        <v>8</v>
      </c>
      <c r="O31" s="40">
        <v>0</v>
      </c>
      <c r="P31" s="40">
        <v>0</v>
      </c>
      <c r="Q31" s="40">
        <f t="shared" si="3"/>
        <v>276</v>
      </c>
      <c r="R31" s="40">
        <f t="shared" si="4"/>
        <v>939.95</v>
      </c>
      <c r="S31" s="373">
        <f>R31*100/'CD Ratio_3(i)'!F31</f>
        <v>24.039641943734015</v>
      </c>
    </row>
    <row r="32" spans="1:19" x14ac:dyDescent="0.2">
      <c r="A32" s="105">
        <v>26</v>
      </c>
      <c r="B32" s="40" t="s">
        <v>187</v>
      </c>
      <c r="C32" s="40">
        <v>390</v>
      </c>
      <c r="D32" s="40">
        <v>3676.68</v>
      </c>
      <c r="E32" s="40">
        <f>SCST_OS_22!C32+SCST_OS_22!E32</f>
        <v>34</v>
      </c>
      <c r="F32" s="40">
        <f>SCST_OS_22!D32+SCST_OS_22!F32</f>
        <v>173.57000000000002</v>
      </c>
      <c r="G32" s="40">
        <f>SHGs_19!E32</f>
        <v>0</v>
      </c>
      <c r="H32" s="40">
        <f>SHGs_19!F32</f>
        <v>0</v>
      </c>
      <c r="I32" s="40">
        <f>Minority_OS_20!O32</f>
        <v>93</v>
      </c>
      <c r="J32" s="40">
        <f>Minority_OS_20!P32</f>
        <v>763.19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f t="shared" si="3"/>
        <v>517</v>
      </c>
      <c r="R32" s="40">
        <f t="shared" si="4"/>
        <v>4613.4400000000005</v>
      </c>
      <c r="S32" s="373">
        <f>R32*100/'CD Ratio_3(i)'!F32</f>
        <v>10.974503898871967</v>
      </c>
    </row>
    <row r="33" spans="1:19" x14ac:dyDescent="0.2">
      <c r="A33" s="105">
        <v>27</v>
      </c>
      <c r="B33" s="40" t="s">
        <v>188</v>
      </c>
      <c r="C33" s="40">
        <v>0</v>
      </c>
      <c r="D33" s="40">
        <v>0</v>
      </c>
      <c r="E33" s="40">
        <f>SCST_OS_22!C33+SCST_OS_22!E33</f>
        <v>0</v>
      </c>
      <c r="F33" s="40">
        <f>SCST_OS_22!D33+SCST_OS_22!F33</f>
        <v>0</v>
      </c>
      <c r="G33" s="40">
        <f>SHGs_19!E33</f>
        <v>0</v>
      </c>
      <c r="H33" s="40">
        <f>SHGs_19!F33</f>
        <v>0</v>
      </c>
      <c r="I33" s="40">
        <f>Minority_OS_20!O33</f>
        <v>0</v>
      </c>
      <c r="J33" s="40">
        <f>Minority_OS_20!P33</f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f t="shared" si="3"/>
        <v>0</v>
      </c>
      <c r="R33" s="40">
        <f t="shared" si="4"/>
        <v>0</v>
      </c>
      <c r="S33" s="373">
        <f>R33*100/'CD Ratio_3(i)'!F33</f>
        <v>0</v>
      </c>
    </row>
    <row r="34" spans="1:19" x14ac:dyDescent="0.2">
      <c r="A34" s="105">
        <v>28</v>
      </c>
      <c r="B34" s="40" t="s">
        <v>67</v>
      </c>
      <c r="C34" s="40">
        <v>0</v>
      </c>
      <c r="D34" s="40">
        <v>0</v>
      </c>
      <c r="E34" s="40">
        <f>SCST_OS_22!C34+SCST_OS_22!E34</f>
        <v>57870</v>
      </c>
      <c r="F34" s="40">
        <f>SCST_OS_22!D34+SCST_OS_22!F34</f>
        <v>25795.33</v>
      </c>
      <c r="G34" s="40">
        <f>SHGs_19!E34</f>
        <v>0</v>
      </c>
      <c r="H34" s="40">
        <f>SHGs_19!F34</f>
        <v>0</v>
      </c>
      <c r="I34" s="40">
        <f>Minority_OS_20!O34</f>
        <v>2611</v>
      </c>
      <c r="J34" s="40">
        <f>Minority_OS_20!P34</f>
        <v>24199.129999999997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f t="shared" si="3"/>
        <v>60481</v>
      </c>
      <c r="R34" s="40">
        <f t="shared" si="4"/>
        <v>49994.46</v>
      </c>
      <c r="S34" s="373">
        <f>R34*100/'CD Ratio_3(i)'!F34</f>
        <v>8.7948564513339331</v>
      </c>
    </row>
    <row r="35" spans="1:19" x14ac:dyDescent="0.2">
      <c r="A35" s="105">
        <v>29</v>
      </c>
      <c r="B35" s="40" t="s">
        <v>189</v>
      </c>
      <c r="C35" s="40">
        <v>6</v>
      </c>
      <c r="D35" s="40">
        <v>6</v>
      </c>
      <c r="E35" s="40">
        <f>SCST_OS_22!C35+SCST_OS_22!E35</f>
        <v>0</v>
      </c>
      <c r="F35" s="40">
        <f>SCST_OS_22!D35+SCST_OS_22!F35</f>
        <v>0</v>
      </c>
      <c r="G35" s="40">
        <f>SHGs_19!E35</f>
        <v>0</v>
      </c>
      <c r="H35" s="40">
        <f>SHGs_19!F35</f>
        <v>0</v>
      </c>
      <c r="I35" s="40">
        <f>Minority_OS_20!O35</f>
        <v>3</v>
      </c>
      <c r="J35" s="40">
        <f>Minority_OS_20!P35</f>
        <v>3.7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f t="shared" si="3"/>
        <v>9</v>
      </c>
      <c r="R35" s="40">
        <f t="shared" si="4"/>
        <v>9.6999999999999993</v>
      </c>
      <c r="S35" s="373">
        <f>R35*100/'CD Ratio_3(i)'!F35</f>
        <v>0.15834149526607899</v>
      </c>
    </row>
    <row r="36" spans="1:19" x14ac:dyDescent="0.2">
      <c r="A36" s="105">
        <v>30</v>
      </c>
      <c r="B36" s="40" t="s">
        <v>190</v>
      </c>
      <c r="C36" s="40">
        <v>127756</v>
      </c>
      <c r="D36" s="40">
        <v>29888</v>
      </c>
      <c r="E36" s="40">
        <f>SCST_OS_22!C36+SCST_OS_22!E36</f>
        <v>30943</v>
      </c>
      <c r="F36" s="40">
        <f>SCST_OS_22!D36+SCST_OS_22!F36</f>
        <v>7406</v>
      </c>
      <c r="G36" s="40">
        <f>SHGs_19!E36</f>
        <v>0</v>
      </c>
      <c r="H36" s="40">
        <f>SHGs_19!F36</f>
        <v>0</v>
      </c>
      <c r="I36" s="40">
        <f>Minority_OS_20!O36</f>
        <v>10288</v>
      </c>
      <c r="J36" s="40">
        <f>Minority_OS_20!P36</f>
        <v>2401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f t="shared" si="3"/>
        <v>168987</v>
      </c>
      <c r="R36" s="40">
        <f t="shared" si="4"/>
        <v>39695</v>
      </c>
      <c r="S36" s="373">
        <f>R36*100/'CD Ratio_3(i)'!F36</f>
        <v>45.66737994984009</v>
      </c>
    </row>
    <row r="37" spans="1:19" x14ac:dyDescent="0.2">
      <c r="A37" s="105">
        <v>31</v>
      </c>
      <c r="B37" s="40" t="s">
        <v>191</v>
      </c>
      <c r="C37" s="40">
        <v>0</v>
      </c>
      <c r="D37" s="40">
        <v>0</v>
      </c>
      <c r="E37" s="40">
        <f>SCST_OS_22!C37+SCST_OS_22!E37</f>
        <v>8</v>
      </c>
      <c r="F37" s="40">
        <f>SCST_OS_22!D37+SCST_OS_22!F37</f>
        <v>16</v>
      </c>
      <c r="G37" s="40">
        <f>SHGs_19!E37</f>
        <v>0</v>
      </c>
      <c r="H37" s="40">
        <f>SHGs_19!F37</f>
        <v>0</v>
      </c>
      <c r="I37" s="40">
        <f>Minority_OS_20!O37</f>
        <v>70</v>
      </c>
      <c r="J37" s="40">
        <f>Minority_OS_20!P37</f>
        <v>186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f t="shared" si="3"/>
        <v>78</v>
      </c>
      <c r="R37" s="40">
        <f t="shared" si="4"/>
        <v>202</v>
      </c>
      <c r="S37" s="373">
        <f>R37*100/'CD Ratio_3(i)'!F37</f>
        <v>2.0792588780236749</v>
      </c>
    </row>
    <row r="38" spans="1:19" x14ac:dyDescent="0.2">
      <c r="A38" s="105">
        <v>32</v>
      </c>
      <c r="B38" s="40" t="s">
        <v>71</v>
      </c>
      <c r="C38" s="40">
        <v>0</v>
      </c>
      <c r="D38" s="40">
        <v>0</v>
      </c>
      <c r="E38" s="40">
        <f>SCST_OS_22!C38+SCST_OS_22!E38</f>
        <v>0</v>
      </c>
      <c r="F38" s="40">
        <f>SCST_OS_22!D38+SCST_OS_22!F38</f>
        <v>0</v>
      </c>
      <c r="G38" s="40">
        <f>SHGs_19!E38</f>
        <v>0</v>
      </c>
      <c r="H38" s="40">
        <f>SHGs_19!F38</f>
        <v>0</v>
      </c>
      <c r="I38" s="40">
        <f>Minority_OS_20!O38</f>
        <v>0</v>
      </c>
      <c r="J38" s="40">
        <f>Minority_OS_20!P38</f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f t="shared" si="3"/>
        <v>0</v>
      </c>
      <c r="R38" s="40">
        <f t="shared" si="4"/>
        <v>0</v>
      </c>
      <c r="S38" s="373">
        <f>R38*100/'CD Ratio_3(i)'!F38</f>
        <v>0</v>
      </c>
    </row>
    <row r="39" spans="1:19" x14ac:dyDescent="0.2">
      <c r="A39" s="105">
        <v>33</v>
      </c>
      <c r="B39" s="40" t="s">
        <v>192</v>
      </c>
      <c r="C39" s="40">
        <v>285</v>
      </c>
      <c r="D39" s="40">
        <v>421</v>
      </c>
      <c r="E39" s="40">
        <f>SCST_OS_22!C39+SCST_OS_22!E39</f>
        <v>20</v>
      </c>
      <c r="F39" s="40">
        <f>SCST_OS_22!D39+SCST_OS_22!F39</f>
        <v>33.869999999999997</v>
      </c>
      <c r="G39" s="40">
        <f>SHGs_19!E39</f>
        <v>0</v>
      </c>
      <c r="H39" s="40">
        <f>SHGs_19!F39</f>
        <v>0</v>
      </c>
      <c r="I39" s="40">
        <f>Minority_OS_20!O39</f>
        <v>53</v>
      </c>
      <c r="J39" s="40">
        <f>Minority_OS_20!P39</f>
        <v>351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f t="shared" si="3"/>
        <v>358</v>
      </c>
      <c r="R39" s="40">
        <f t="shared" si="4"/>
        <v>805.87</v>
      </c>
      <c r="S39" s="373">
        <f>R39*100/'CD Ratio_3(i)'!F39</f>
        <v>12.063922155688623</v>
      </c>
    </row>
    <row r="40" spans="1:19" x14ac:dyDescent="0.2">
      <c r="A40" s="105" t="s">
        <v>1067</v>
      </c>
      <c r="B40" s="40" t="s">
        <v>70</v>
      </c>
      <c r="C40" s="40">
        <v>35329</v>
      </c>
      <c r="D40" s="40">
        <v>20330</v>
      </c>
      <c r="E40" s="40">
        <f>SCST_OS_22!C40+SCST_OS_22!E40</f>
        <v>42092</v>
      </c>
      <c r="F40" s="40">
        <f>SCST_OS_22!D40+SCST_OS_22!F40</f>
        <v>9720</v>
      </c>
      <c r="G40" s="40">
        <f>SHGs_19!E40</f>
        <v>0</v>
      </c>
      <c r="H40" s="40">
        <f>SHGs_19!F40</f>
        <v>0</v>
      </c>
      <c r="I40" s="40">
        <f>Minority_OS_20!O40</f>
        <v>7318</v>
      </c>
      <c r="J40" s="40">
        <f>Minority_OS_20!P40</f>
        <v>7954</v>
      </c>
      <c r="K40" s="40">
        <v>0</v>
      </c>
      <c r="L40" s="40">
        <v>0</v>
      </c>
      <c r="M40" s="40">
        <v>0</v>
      </c>
      <c r="N40" s="40">
        <v>0</v>
      </c>
      <c r="O40" s="40">
        <v>12541</v>
      </c>
      <c r="P40" s="40">
        <v>30221</v>
      </c>
      <c r="Q40" s="40">
        <f t="shared" si="3"/>
        <v>97280</v>
      </c>
      <c r="R40" s="40">
        <f t="shared" si="4"/>
        <v>68225</v>
      </c>
      <c r="S40" s="373">
        <f>R40*100/'CD Ratio_3(i)'!F40</f>
        <v>31.381811658532772</v>
      </c>
    </row>
    <row r="41" spans="1:19" s="43" customFormat="1" x14ac:dyDescent="0.2">
      <c r="A41" s="293"/>
      <c r="B41" s="42" t="s">
        <v>213</v>
      </c>
      <c r="C41" s="42">
        <f>SUM(C19:C40)</f>
        <v>911245</v>
      </c>
      <c r="D41" s="42">
        <f t="shared" ref="D41:R41" si="5">SUM(D19:D40)</f>
        <v>467114.22</v>
      </c>
      <c r="E41" s="42">
        <f t="shared" si="5"/>
        <v>611103</v>
      </c>
      <c r="F41" s="42">
        <f t="shared" si="5"/>
        <v>244347.66999999998</v>
      </c>
      <c r="G41" s="42">
        <f t="shared" si="5"/>
        <v>6611</v>
      </c>
      <c r="H41" s="42">
        <f t="shared" si="5"/>
        <v>7188.4400000000005</v>
      </c>
      <c r="I41" s="42">
        <f t="shared" si="5"/>
        <v>271782</v>
      </c>
      <c r="J41" s="42">
        <f t="shared" si="5"/>
        <v>267413.15000000002</v>
      </c>
      <c r="K41" s="42">
        <f t="shared" si="5"/>
        <v>2</v>
      </c>
      <c r="L41" s="42">
        <f t="shared" si="5"/>
        <v>0.08</v>
      </c>
      <c r="M41" s="42">
        <f t="shared" si="5"/>
        <v>60</v>
      </c>
      <c r="N41" s="42">
        <f t="shared" si="5"/>
        <v>8</v>
      </c>
      <c r="O41" s="42">
        <f t="shared" si="5"/>
        <v>553622</v>
      </c>
      <c r="P41" s="42">
        <f t="shared" si="5"/>
        <v>403571.62</v>
      </c>
      <c r="Q41" s="42">
        <f t="shared" si="5"/>
        <v>2354425</v>
      </c>
      <c r="R41" s="42">
        <f t="shared" si="5"/>
        <v>1389643.18</v>
      </c>
      <c r="S41" s="374">
        <f>R41*100/'CD Ratio_3(i)'!F41</f>
        <v>15.657962275590014</v>
      </c>
    </row>
    <row r="42" spans="1:19" s="43" customFormat="1" x14ac:dyDescent="0.2">
      <c r="A42" s="293"/>
      <c r="B42" s="42" t="s">
        <v>311</v>
      </c>
      <c r="C42" s="42">
        <f>C41+C18</f>
        <v>2175410</v>
      </c>
      <c r="D42" s="42">
        <f t="shared" ref="D42:R42" si="6">D41+D18</f>
        <v>2440239.87</v>
      </c>
      <c r="E42" s="42">
        <f t="shared" si="6"/>
        <v>1303731</v>
      </c>
      <c r="F42" s="42">
        <f t="shared" si="6"/>
        <v>1467045.68</v>
      </c>
      <c r="G42" s="42">
        <f t="shared" si="6"/>
        <v>59710</v>
      </c>
      <c r="H42" s="42">
        <f t="shared" si="6"/>
        <v>66148.05</v>
      </c>
      <c r="I42" s="42">
        <f t="shared" si="6"/>
        <v>478847</v>
      </c>
      <c r="J42" s="42">
        <f t="shared" si="6"/>
        <v>953994.47</v>
      </c>
      <c r="K42" s="42">
        <f t="shared" si="6"/>
        <v>219602</v>
      </c>
      <c r="L42" s="42">
        <f t="shared" si="6"/>
        <v>8544.41</v>
      </c>
      <c r="M42" s="42">
        <f t="shared" si="6"/>
        <v>4303</v>
      </c>
      <c r="N42" s="42">
        <f t="shared" si="6"/>
        <v>2630.9</v>
      </c>
      <c r="O42" s="42">
        <f t="shared" si="6"/>
        <v>760596</v>
      </c>
      <c r="P42" s="42">
        <f t="shared" si="6"/>
        <v>806334.48</v>
      </c>
      <c r="Q42" s="42">
        <f t="shared" si="6"/>
        <v>5002199</v>
      </c>
      <c r="R42" s="42">
        <f t="shared" si="6"/>
        <v>5744937.8599999994</v>
      </c>
      <c r="S42" s="374">
        <f>R42*100/'CD Ratio_3(i)'!F42</f>
        <v>19.355334197750796</v>
      </c>
    </row>
    <row r="43" spans="1:19" s="43" customFormat="1" x14ac:dyDescent="0.2">
      <c r="A43" s="105">
        <v>35</v>
      </c>
      <c r="B43" s="40" t="s">
        <v>193</v>
      </c>
      <c r="C43" s="40">
        <v>99431</v>
      </c>
      <c r="D43" s="40">
        <v>44116</v>
      </c>
      <c r="E43" s="40">
        <f>SCST_OS_22!C43+SCST_OS_22!E43</f>
        <v>31565</v>
      </c>
      <c r="F43" s="40">
        <f>SCST_OS_22!D43+SCST_OS_22!F43</f>
        <v>31735</v>
      </c>
      <c r="G43" s="40">
        <f>SHGs_19!E43</f>
        <v>34971</v>
      </c>
      <c r="H43" s="40">
        <f>SHGs_19!F43</f>
        <v>15377</v>
      </c>
      <c r="I43" s="40">
        <f>Minority_OS_20!O43</f>
        <v>38377</v>
      </c>
      <c r="J43" s="40">
        <f>Minority_OS_20!P43</f>
        <v>33322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f>C43+E43+G43+I43+K43+M43+O43</f>
        <v>204344</v>
      </c>
      <c r="R43" s="40">
        <f>D43+F43+H43+J43+L43+N43+P43</f>
        <v>124550</v>
      </c>
      <c r="S43" s="373">
        <f>R43*100/'CD Ratio_3(i)'!F43</f>
        <v>44.858150281106276</v>
      </c>
    </row>
    <row r="44" spans="1:19" s="43" customFormat="1" x14ac:dyDescent="0.2">
      <c r="A44" s="105">
        <v>36</v>
      </c>
      <c r="B44" s="40" t="s">
        <v>382</v>
      </c>
      <c r="C44" s="40">
        <v>180925</v>
      </c>
      <c r="D44" s="40">
        <v>243256.71</v>
      </c>
      <c r="E44" s="40">
        <f>SCST_OS_22!C44+SCST_OS_22!E44</f>
        <v>173807</v>
      </c>
      <c r="F44" s="40">
        <f>SCST_OS_22!D44+SCST_OS_22!F44</f>
        <v>142655.34</v>
      </c>
      <c r="G44" s="40">
        <f>SHGs_19!E44</f>
        <v>47004</v>
      </c>
      <c r="H44" s="40">
        <f>SHGs_19!F44</f>
        <v>38767.629999999997</v>
      </c>
      <c r="I44" s="40">
        <f>Minority_OS_20!O44</f>
        <v>33983</v>
      </c>
      <c r="J44" s="40">
        <f>Minority_OS_20!P44</f>
        <v>42493</v>
      </c>
      <c r="K44" s="40">
        <v>16993</v>
      </c>
      <c r="L44" s="40">
        <v>534.16</v>
      </c>
      <c r="M44" s="40">
        <v>0</v>
      </c>
      <c r="N44" s="40">
        <v>0</v>
      </c>
      <c r="O44" s="40">
        <v>0</v>
      </c>
      <c r="P44" s="40">
        <v>0</v>
      </c>
      <c r="Q44" s="40">
        <f>C44+E44+G44+I44+K44+M44+O44</f>
        <v>452712</v>
      </c>
      <c r="R44" s="40">
        <f>D44+F44+H44+J44+L44+N44+P44</f>
        <v>467706.83999999997</v>
      </c>
      <c r="S44" s="373">
        <f>R44*100/'CD Ratio_3(i)'!F44</f>
        <v>42.899269063830289</v>
      </c>
    </row>
    <row r="45" spans="1:19" s="43" customFormat="1" x14ac:dyDescent="0.2">
      <c r="A45" s="293"/>
      <c r="B45" s="42" t="s">
        <v>216</v>
      </c>
      <c r="C45" s="42">
        <f>C44+C43</f>
        <v>280356</v>
      </c>
      <c r="D45" s="42">
        <f t="shared" ref="D45:R45" si="7">D44+D43</f>
        <v>287372.70999999996</v>
      </c>
      <c r="E45" s="42">
        <f t="shared" si="7"/>
        <v>205372</v>
      </c>
      <c r="F45" s="42">
        <f t="shared" si="7"/>
        <v>174390.34</v>
      </c>
      <c r="G45" s="42">
        <f t="shared" si="7"/>
        <v>81975</v>
      </c>
      <c r="H45" s="42">
        <f t="shared" si="7"/>
        <v>54144.63</v>
      </c>
      <c r="I45" s="42">
        <f t="shared" si="7"/>
        <v>72360</v>
      </c>
      <c r="J45" s="42">
        <f t="shared" si="7"/>
        <v>75815</v>
      </c>
      <c r="K45" s="42">
        <f t="shared" si="7"/>
        <v>16993</v>
      </c>
      <c r="L45" s="42">
        <f t="shared" si="7"/>
        <v>534.16</v>
      </c>
      <c r="M45" s="42">
        <f t="shared" si="7"/>
        <v>0</v>
      </c>
      <c r="N45" s="42">
        <f t="shared" si="7"/>
        <v>0</v>
      </c>
      <c r="O45" s="42">
        <f t="shared" si="7"/>
        <v>0</v>
      </c>
      <c r="P45" s="42">
        <f t="shared" si="7"/>
        <v>0</v>
      </c>
      <c r="Q45" s="42">
        <f t="shared" si="7"/>
        <v>657056</v>
      </c>
      <c r="R45" s="42">
        <f t="shared" si="7"/>
        <v>592256.84</v>
      </c>
      <c r="S45" s="374">
        <f>R45*100/'CD Ratio_3(i)'!F45</f>
        <v>43.296878769357328</v>
      </c>
    </row>
    <row r="46" spans="1:19" x14ac:dyDescent="0.2">
      <c r="A46" s="105">
        <v>37</v>
      </c>
      <c r="B46" s="40" t="s">
        <v>312</v>
      </c>
      <c r="C46" s="40">
        <v>1551499</v>
      </c>
      <c r="D46" s="40">
        <v>854775</v>
      </c>
      <c r="E46" s="40">
        <f>SCST_OS_22!C46+SCST_OS_22!E46</f>
        <v>1122433</v>
      </c>
      <c r="F46" s="40">
        <f>SCST_OS_22!D46+SCST_OS_22!F46</f>
        <v>511621</v>
      </c>
      <c r="G46" s="40">
        <f>SHGs_19!E46</f>
        <v>6737</v>
      </c>
      <c r="H46" s="40">
        <f>SHGs_19!F46</f>
        <v>9124</v>
      </c>
      <c r="I46" s="40">
        <f>Minority_OS_20!O46</f>
        <v>104037</v>
      </c>
      <c r="J46" s="40">
        <f>Minority_OS_20!P46</f>
        <v>52019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f>C46+E46+G46+I46+K46+M46+O46</f>
        <v>2784706</v>
      </c>
      <c r="R46" s="40">
        <f>D46+F46+H46+J46+L46+N46+P46</f>
        <v>1427539</v>
      </c>
      <c r="S46" s="373">
        <f>R46*100/'CD Ratio_3(i)'!F46</f>
        <v>39.706129819225922</v>
      </c>
    </row>
    <row r="47" spans="1:19" s="43" customFormat="1" x14ac:dyDescent="0.2">
      <c r="A47" s="293"/>
      <c r="B47" s="42" t="s">
        <v>214</v>
      </c>
      <c r="C47" s="42">
        <f>C46</f>
        <v>1551499</v>
      </c>
      <c r="D47" s="42">
        <f t="shared" ref="D47:R47" si="8">D46</f>
        <v>854775</v>
      </c>
      <c r="E47" s="42">
        <f t="shared" si="8"/>
        <v>1122433</v>
      </c>
      <c r="F47" s="42">
        <f t="shared" si="8"/>
        <v>511621</v>
      </c>
      <c r="G47" s="42">
        <f t="shared" si="8"/>
        <v>6737</v>
      </c>
      <c r="H47" s="42">
        <f t="shared" si="8"/>
        <v>9124</v>
      </c>
      <c r="I47" s="42">
        <f t="shared" si="8"/>
        <v>104037</v>
      </c>
      <c r="J47" s="42">
        <f t="shared" si="8"/>
        <v>52019</v>
      </c>
      <c r="K47" s="42">
        <f t="shared" si="8"/>
        <v>0</v>
      </c>
      <c r="L47" s="42">
        <f t="shared" si="8"/>
        <v>0</v>
      </c>
      <c r="M47" s="42">
        <f t="shared" si="8"/>
        <v>0</v>
      </c>
      <c r="N47" s="42">
        <f t="shared" si="8"/>
        <v>0</v>
      </c>
      <c r="O47" s="42">
        <f t="shared" si="8"/>
        <v>0</v>
      </c>
      <c r="P47" s="42">
        <f t="shared" si="8"/>
        <v>0</v>
      </c>
      <c r="Q47" s="42">
        <f t="shared" si="8"/>
        <v>2784706</v>
      </c>
      <c r="R47" s="42">
        <f t="shared" si="8"/>
        <v>1427539</v>
      </c>
      <c r="S47" s="374">
        <f>R47*100/'CD Ratio_3(i)'!F47</f>
        <v>39.706129819225922</v>
      </c>
    </row>
    <row r="48" spans="1:19" s="43" customFormat="1" x14ac:dyDescent="0.2">
      <c r="A48" s="105">
        <v>38</v>
      </c>
      <c r="B48" s="40" t="s">
        <v>304</v>
      </c>
      <c r="C48" s="40">
        <v>22308</v>
      </c>
      <c r="D48" s="40">
        <v>63299.4</v>
      </c>
      <c r="E48" s="40">
        <f>SCST_OS_22!C48+SCST_OS_22!E48</f>
        <v>2219</v>
      </c>
      <c r="F48" s="40">
        <f>SCST_OS_22!D48+SCST_OS_22!F48</f>
        <v>6383.46</v>
      </c>
      <c r="G48" s="40">
        <f>SHGs_19!E48</f>
        <v>0</v>
      </c>
      <c r="H48" s="40">
        <f>SHGs_19!F48</f>
        <v>0</v>
      </c>
      <c r="I48" s="40">
        <f>Minority_OS_20!O48</f>
        <v>10104</v>
      </c>
      <c r="J48" s="40">
        <f>Minority_OS_20!P48</f>
        <v>50375.09</v>
      </c>
      <c r="K48" s="40">
        <v>0</v>
      </c>
      <c r="L48" s="40">
        <v>0</v>
      </c>
      <c r="M48" s="40">
        <v>0</v>
      </c>
      <c r="N48" s="40">
        <v>0</v>
      </c>
      <c r="O48" s="40">
        <v>102</v>
      </c>
      <c r="P48" s="40">
        <v>123.17</v>
      </c>
      <c r="Q48" s="40">
        <f t="shared" ref="Q48:R55" si="9">C48+E48+G48+I48+K48+M48+O48</f>
        <v>34733</v>
      </c>
      <c r="R48" s="40">
        <f t="shared" si="9"/>
        <v>120181.12</v>
      </c>
      <c r="S48" s="373">
        <f>R48*100/'CD Ratio_3(i)'!F48</f>
        <v>20.750691842994247</v>
      </c>
    </row>
    <row r="49" spans="1:19" x14ac:dyDescent="0.2">
      <c r="A49" s="105">
        <v>39</v>
      </c>
      <c r="B49" s="40" t="s">
        <v>305</v>
      </c>
      <c r="C49" s="40">
        <v>0</v>
      </c>
      <c r="D49" s="40">
        <v>0</v>
      </c>
      <c r="E49" s="40">
        <f>SCST_OS_22!C49+SCST_OS_22!E49</f>
        <v>0</v>
      </c>
      <c r="F49" s="40">
        <f>SCST_OS_22!D49+SCST_OS_22!F49</f>
        <v>0</v>
      </c>
      <c r="G49" s="40">
        <f>SHGs_19!E49</f>
        <v>0</v>
      </c>
      <c r="H49" s="40">
        <f>SHGs_19!F49</f>
        <v>0</v>
      </c>
      <c r="I49" s="40">
        <f>Minority_OS_20!O49</f>
        <v>0</v>
      </c>
      <c r="J49" s="40">
        <f>Minority_OS_20!P49</f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f t="shared" si="9"/>
        <v>0</v>
      </c>
      <c r="R49" s="40">
        <f t="shared" si="9"/>
        <v>0</v>
      </c>
      <c r="S49" s="373">
        <f>R49*100/'CD Ratio_3(i)'!F49</f>
        <v>0</v>
      </c>
    </row>
    <row r="50" spans="1:19" x14ac:dyDescent="0.2">
      <c r="A50" s="105">
        <v>40</v>
      </c>
      <c r="B50" s="40" t="s">
        <v>383</v>
      </c>
      <c r="C50" s="40">
        <v>84174</v>
      </c>
      <c r="D50" s="40">
        <v>17924.7</v>
      </c>
      <c r="E50" s="40">
        <f>SCST_OS_22!C50+SCST_OS_22!E50</f>
        <v>67121</v>
      </c>
      <c r="F50" s="40">
        <f>SCST_OS_22!D50+SCST_OS_22!F50</f>
        <v>14418.68</v>
      </c>
      <c r="G50" s="40">
        <f>SHGs_19!E50</f>
        <v>0</v>
      </c>
      <c r="H50" s="40">
        <f>SHGs_19!F50</f>
        <v>0</v>
      </c>
      <c r="I50" s="40">
        <f>Minority_OS_20!O50</f>
        <v>17272</v>
      </c>
      <c r="J50" s="40">
        <f>Minority_OS_20!P50</f>
        <v>3862.9499999999994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f t="shared" si="9"/>
        <v>168567</v>
      </c>
      <c r="R50" s="40">
        <f t="shared" si="9"/>
        <v>36206.33</v>
      </c>
      <c r="S50" s="373">
        <f>R50*100/'CD Ratio_3(i)'!F50</f>
        <v>86.164332346741773</v>
      </c>
    </row>
    <row r="51" spans="1:19" s="43" customFormat="1" x14ac:dyDescent="0.2">
      <c r="A51" s="105">
        <v>41</v>
      </c>
      <c r="B51" s="40" t="s">
        <v>306</v>
      </c>
      <c r="C51" s="40">
        <v>0</v>
      </c>
      <c r="D51" s="40">
        <v>0</v>
      </c>
      <c r="E51" s="40">
        <f>SCST_OS_22!C51+SCST_OS_22!E51</f>
        <v>62294</v>
      </c>
      <c r="F51" s="40">
        <f>SCST_OS_22!D51+SCST_OS_22!F51</f>
        <v>13083.86</v>
      </c>
      <c r="G51" s="40">
        <f>SHGs_19!E51</f>
        <v>0</v>
      </c>
      <c r="H51" s="40">
        <f>SHGs_19!F51</f>
        <v>0</v>
      </c>
      <c r="I51" s="40">
        <f>Minority_OS_20!O51</f>
        <v>2343</v>
      </c>
      <c r="J51" s="40">
        <f>Minority_OS_20!P51</f>
        <v>506.96999999999997</v>
      </c>
      <c r="K51" s="40">
        <v>0</v>
      </c>
      <c r="L51" s="40">
        <v>0</v>
      </c>
      <c r="M51" s="40">
        <v>0</v>
      </c>
      <c r="N51" s="40">
        <v>0</v>
      </c>
      <c r="O51" s="40">
        <v>12279</v>
      </c>
      <c r="P51" s="40">
        <v>8694.84</v>
      </c>
      <c r="Q51" s="40">
        <f t="shared" si="9"/>
        <v>76916</v>
      </c>
      <c r="R51" s="40">
        <f t="shared" si="9"/>
        <v>22285.67</v>
      </c>
      <c r="S51" s="373">
        <f>R51*100/'CD Ratio_3(i)'!F51</f>
        <v>40.161328893644068</v>
      </c>
    </row>
    <row r="52" spans="1:19" x14ac:dyDescent="0.2">
      <c r="A52" s="105">
        <v>42</v>
      </c>
      <c r="B52" s="40" t="s">
        <v>307</v>
      </c>
      <c r="C52" s="40">
        <v>52180</v>
      </c>
      <c r="D52" s="40">
        <v>16830</v>
      </c>
      <c r="E52" s="40">
        <f>SCST_OS_22!C52+SCST_OS_22!E52</f>
        <v>72685</v>
      </c>
      <c r="F52" s="40">
        <f>SCST_OS_22!D52+SCST_OS_22!F52</f>
        <v>22411</v>
      </c>
      <c r="G52" s="40">
        <f>SHGs_19!E52</f>
        <v>0</v>
      </c>
      <c r="H52" s="40">
        <f>SHGs_19!F52</f>
        <v>0</v>
      </c>
      <c r="I52" s="40">
        <f>Minority_OS_20!O52</f>
        <v>35148</v>
      </c>
      <c r="J52" s="40">
        <f>Minority_OS_20!P52</f>
        <v>13811</v>
      </c>
      <c r="K52" s="40">
        <v>0</v>
      </c>
      <c r="L52" s="40">
        <v>0</v>
      </c>
      <c r="M52" s="40">
        <v>0</v>
      </c>
      <c r="N52" s="40">
        <v>0</v>
      </c>
      <c r="O52" s="40">
        <v>78121</v>
      </c>
      <c r="P52" s="40">
        <v>29392</v>
      </c>
      <c r="Q52" s="40">
        <f t="shared" si="9"/>
        <v>238134</v>
      </c>
      <c r="R52" s="40">
        <f t="shared" si="9"/>
        <v>82444</v>
      </c>
      <c r="S52" s="373">
        <f>R52*100/'CD Ratio_3(i)'!F52</f>
        <v>90.568939568708871</v>
      </c>
    </row>
    <row r="53" spans="1:19" x14ac:dyDescent="0.2">
      <c r="A53" s="105">
        <v>43</v>
      </c>
      <c r="B53" s="40" t="s">
        <v>308</v>
      </c>
      <c r="C53" s="40">
        <v>46433</v>
      </c>
      <c r="D53" s="40">
        <v>9313.74</v>
      </c>
      <c r="E53" s="40">
        <f>SCST_OS_22!C53+SCST_OS_22!E53</f>
        <v>36410</v>
      </c>
      <c r="F53" s="40">
        <f>SCST_OS_22!D53+SCST_OS_22!F53</f>
        <v>6180.6900000000005</v>
      </c>
      <c r="G53" s="40">
        <f>SHGs_19!E53</f>
        <v>0</v>
      </c>
      <c r="H53" s="40">
        <f>SHGs_19!F53</f>
        <v>0</v>
      </c>
      <c r="I53" s="40">
        <f>Minority_OS_20!O53</f>
        <v>6047</v>
      </c>
      <c r="J53" s="40">
        <f>Minority_OS_20!P53</f>
        <v>1153.9499999999998</v>
      </c>
      <c r="K53" s="40">
        <v>0</v>
      </c>
      <c r="L53" s="40">
        <v>0</v>
      </c>
      <c r="M53" s="40">
        <v>0</v>
      </c>
      <c r="N53" s="40">
        <v>0</v>
      </c>
      <c r="O53" s="40">
        <v>4227</v>
      </c>
      <c r="P53" s="40">
        <v>8506.81</v>
      </c>
      <c r="Q53" s="40">
        <f t="shared" si="9"/>
        <v>93117</v>
      </c>
      <c r="R53" s="40">
        <f t="shared" si="9"/>
        <v>25155.190000000002</v>
      </c>
      <c r="S53" s="373">
        <f>R53*100/'CD Ratio_3(i)'!F53</f>
        <v>97.25255394760039</v>
      </c>
    </row>
    <row r="54" spans="1:19" x14ac:dyDescent="0.2">
      <c r="A54" s="105">
        <v>44</v>
      </c>
      <c r="B54" s="40" t="s">
        <v>300</v>
      </c>
      <c r="C54" s="40">
        <v>17528</v>
      </c>
      <c r="D54" s="40">
        <v>7454.96</v>
      </c>
      <c r="E54" s="40">
        <f>SCST_OS_22!C54+SCST_OS_22!E54</f>
        <v>32349</v>
      </c>
      <c r="F54" s="40">
        <f>SCST_OS_22!D54+SCST_OS_22!F54</f>
        <v>6834.99</v>
      </c>
      <c r="G54" s="40">
        <f>SHGs_19!E54</f>
        <v>0</v>
      </c>
      <c r="H54" s="40">
        <f>SHGs_19!F54</f>
        <v>0</v>
      </c>
      <c r="I54" s="40">
        <f>Minority_OS_20!O54</f>
        <v>7875</v>
      </c>
      <c r="J54" s="40">
        <f>Minority_OS_20!P54</f>
        <v>1635.1200000000001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f t="shared" si="9"/>
        <v>57752</v>
      </c>
      <c r="R54" s="40">
        <f t="shared" si="9"/>
        <v>15925.070000000002</v>
      </c>
      <c r="S54" s="373">
        <f>R54*100/'CD Ratio_3(i)'!F54</f>
        <v>77.567635758595969</v>
      </c>
    </row>
    <row r="55" spans="1:19" x14ac:dyDescent="0.2">
      <c r="A55" s="105">
        <v>45</v>
      </c>
      <c r="B55" s="40" t="s">
        <v>309</v>
      </c>
      <c r="C55" s="40">
        <v>34801</v>
      </c>
      <c r="D55" s="40">
        <v>9106</v>
      </c>
      <c r="E55" s="40">
        <f>SCST_OS_22!C55+SCST_OS_22!E55</f>
        <v>50950</v>
      </c>
      <c r="F55" s="40">
        <f>SCST_OS_22!D55+SCST_OS_22!F55</f>
        <v>13194</v>
      </c>
      <c r="G55" s="40">
        <f>SHGs_19!E55</f>
        <v>0</v>
      </c>
      <c r="H55" s="40">
        <f>SHGs_19!F55</f>
        <v>0</v>
      </c>
      <c r="I55" s="40">
        <f>Minority_OS_20!O55</f>
        <v>2569</v>
      </c>
      <c r="J55" s="40">
        <f>Minority_OS_20!P55</f>
        <v>707</v>
      </c>
      <c r="K55" s="40">
        <v>0</v>
      </c>
      <c r="L55" s="40">
        <v>0</v>
      </c>
      <c r="M55" s="40">
        <v>0</v>
      </c>
      <c r="N55" s="40">
        <v>0</v>
      </c>
      <c r="O55" s="40">
        <v>8966</v>
      </c>
      <c r="P55" s="40">
        <v>3879</v>
      </c>
      <c r="Q55" s="40">
        <f t="shared" si="9"/>
        <v>97286</v>
      </c>
      <c r="R55" s="40">
        <f t="shared" si="9"/>
        <v>26886</v>
      </c>
      <c r="S55" s="373">
        <f>R55*100/'CD Ratio_3(i)'!F55</f>
        <v>87.181815233956996</v>
      </c>
    </row>
    <row r="56" spans="1:19" s="43" customFormat="1" x14ac:dyDescent="0.2">
      <c r="A56" s="293"/>
      <c r="B56" s="42" t="s">
        <v>310</v>
      </c>
      <c r="C56" s="42">
        <f>SUM(C48:C55)</f>
        <v>257424</v>
      </c>
      <c r="D56" s="42">
        <f t="shared" ref="D56:R56" si="10">SUM(D48:D55)</f>
        <v>123928.80000000002</v>
      </c>
      <c r="E56" s="42">
        <f t="shared" si="10"/>
        <v>324028</v>
      </c>
      <c r="F56" s="42">
        <f t="shared" si="10"/>
        <v>82506.680000000008</v>
      </c>
      <c r="G56" s="42">
        <f t="shared" si="10"/>
        <v>0</v>
      </c>
      <c r="H56" s="42">
        <f t="shared" si="10"/>
        <v>0</v>
      </c>
      <c r="I56" s="42">
        <f t="shared" si="10"/>
        <v>81358</v>
      </c>
      <c r="J56" s="42">
        <f t="shared" si="10"/>
        <v>72052.079999999987</v>
      </c>
      <c r="K56" s="42">
        <f t="shared" si="10"/>
        <v>0</v>
      </c>
      <c r="L56" s="42">
        <f t="shared" si="10"/>
        <v>0</v>
      </c>
      <c r="M56" s="42">
        <f t="shared" si="10"/>
        <v>0</v>
      </c>
      <c r="N56" s="42">
        <f t="shared" si="10"/>
        <v>0</v>
      </c>
      <c r="O56" s="42">
        <f t="shared" si="10"/>
        <v>103695</v>
      </c>
      <c r="P56" s="42">
        <f t="shared" si="10"/>
        <v>50595.82</v>
      </c>
      <c r="Q56" s="42">
        <f t="shared" si="10"/>
        <v>766505</v>
      </c>
      <c r="R56" s="42">
        <f t="shared" si="10"/>
        <v>329083.38</v>
      </c>
      <c r="S56" s="374">
        <f>R56*100/'CD Ratio_3(i)'!F56</f>
        <v>36.476196217796037</v>
      </c>
    </row>
    <row r="57" spans="1:19" s="43" customFormat="1" x14ac:dyDescent="0.2">
      <c r="A57" s="42"/>
      <c r="B57" s="42" t="s">
        <v>0</v>
      </c>
      <c r="C57" s="42">
        <f>C56+C47+C45+C42</f>
        <v>4264689</v>
      </c>
      <c r="D57" s="42">
        <f t="shared" ref="D57:R57" si="11">D56+D47+D45+D42</f>
        <v>3706316.38</v>
      </c>
      <c r="E57" s="42">
        <f t="shared" si="11"/>
        <v>2955564</v>
      </c>
      <c r="F57" s="42">
        <f t="shared" si="11"/>
        <v>2235563.7000000002</v>
      </c>
      <c r="G57" s="42">
        <f t="shared" si="11"/>
        <v>148422</v>
      </c>
      <c r="H57" s="42">
        <f t="shared" si="11"/>
        <v>129416.68</v>
      </c>
      <c r="I57" s="42">
        <f t="shared" si="11"/>
        <v>736602</v>
      </c>
      <c r="J57" s="42">
        <f t="shared" si="11"/>
        <v>1153880.55</v>
      </c>
      <c r="K57" s="42">
        <f t="shared" si="11"/>
        <v>236595</v>
      </c>
      <c r="L57" s="42">
        <f t="shared" si="11"/>
        <v>9078.57</v>
      </c>
      <c r="M57" s="42">
        <f t="shared" si="11"/>
        <v>4303</v>
      </c>
      <c r="N57" s="42">
        <f t="shared" si="11"/>
        <v>2630.9</v>
      </c>
      <c r="O57" s="42">
        <f t="shared" si="11"/>
        <v>864291</v>
      </c>
      <c r="P57" s="42">
        <f t="shared" si="11"/>
        <v>856930.29999999993</v>
      </c>
      <c r="Q57" s="42">
        <f t="shared" si="11"/>
        <v>9210466</v>
      </c>
      <c r="R57" s="42">
        <f t="shared" si="11"/>
        <v>8093817.0799999991</v>
      </c>
      <c r="S57" s="39">
        <f>R57*100/'CD Ratio_3(i)'!F59</f>
        <v>22.769490532185873</v>
      </c>
    </row>
    <row r="58" spans="1:19" x14ac:dyDescent="0.2">
      <c r="F58" s="44"/>
      <c r="I58" s="45" t="s">
        <v>1075</v>
      </c>
    </row>
    <row r="59" spans="1:19" x14ac:dyDescent="0.2">
      <c r="D59" s="44"/>
    </row>
    <row r="61" spans="1:19" x14ac:dyDescent="0.2">
      <c r="E61" s="44"/>
    </row>
  </sheetData>
  <mergeCells count="12">
    <mergeCell ref="Q4:R4"/>
    <mergeCell ref="C3:S3"/>
    <mergeCell ref="A1:S1"/>
    <mergeCell ref="A3:A5"/>
    <mergeCell ref="B3:B5"/>
    <mergeCell ref="C4:D4"/>
    <mergeCell ref="E4:F4"/>
    <mergeCell ref="G4:H4"/>
    <mergeCell ref="I4:J4"/>
    <mergeCell ref="K4:L4"/>
    <mergeCell ref="M4:N4"/>
    <mergeCell ref="O4:P4"/>
  </mergeCells>
  <conditionalFormatting sqref="S6:S57">
    <cfRule type="cellIs" dxfId="27" priority="3" operator="greaterThan">
      <formula>100</formula>
    </cfRule>
  </conditionalFormatting>
  <pageMargins left="1.95" right="0.2" top="0.25" bottom="0.25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T67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4" sqref="F14"/>
    </sheetView>
  </sheetViews>
  <sheetFormatPr baseColWidth="10" defaultColWidth="4.3984375" defaultRowHeight="14" x14ac:dyDescent="0.2"/>
  <cols>
    <col min="1" max="1" width="4.3984375" style="45"/>
    <col min="2" max="2" width="34.19921875" style="45" customWidth="1"/>
    <col min="3" max="4" width="9.19921875" style="45" customWidth="1"/>
    <col min="5" max="5" width="7.59765625" style="45" customWidth="1"/>
    <col min="6" max="6" width="10.19921875" style="45" customWidth="1"/>
    <col min="7" max="7" width="9.3984375" style="45" customWidth="1"/>
    <col min="8" max="8" width="10" style="45" customWidth="1"/>
    <col min="9" max="9" width="9.796875" style="45" customWidth="1"/>
    <col min="10" max="10" width="10.19921875" style="45" customWidth="1"/>
    <col min="11" max="11" width="10.59765625" style="45" customWidth="1"/>
    <col min="12" max="12" width="10.19921875" style="45" customWidth="1"/>
    <col min="13" max="13" width="9" style="45" customWidth="1"/>
    <col min="14" max="14" width="10.59765625" style="45" customWidth="1"/>
    <col min="15" max="16" width="9" style="45" hidden="1" customWidth="1"/>
    <col min="17" max="17" width="8.796875" style="45" hidden="1" customWidth="1"/>
    <col min="18" max="20" width="4.3984375" style="45" hidden="1" customWidth="1"/>
    <col min="21" max="16384" width="4.3984375" style="45"/>
  </cols>
  <sheetData>
    <row r="1" spans="1:17" ht="18" x14ac:dyDescent="0.2">
      <c r="A1" s="418" t="s">
        <v>1058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</row>
    <row r="2" spans="1:17" ht="14" customHeight="1" x14ac:dyDescent="0.2">
      <c r="A2" s="419" t="s">
        <v>110</v>
      </c>
      <c r="B2" s="419" t="s">
        <v>94</v>
      </c>
      <c r="C2" s="411" t="s">
        <v>445</v>
      </c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7" ht="14" customHeight="1" x14ac:dyDescent="0.2">
      <c r="A3" s="419"/>
      <c r="B3" s="419"/>
      <c r="C3" s="411" t="s">
        <v>143</v>
      </c>
      <c r="D3" s="411"/>
      <c r="E3" s="411" t="s">
        <v>126</v>
      </c>
      <c r="F3" s="411"/>
      <c r="G3" s="411" t="s">
        <v>127</v>
      </c>
      <c r="H3" s="411"/>
      <c r="I3" s="411" t="s">
        <v>144</v>
      </c>
      <c r="J3" s="411"/>
      <c r="K3" s="411" t="s">
        <v>121</v>
      </c>
      <c r="L3" s="411"/>
      <c r="M3" s="411" t="s">
        <v>145</v>
      </c>
      <c r="N3" s="411"/>
    </row>
    <row r="4" spans="1:17" ht="14" customHeight="1" x14ac:dyDescent="0.2">
      <c r="A4" s="419"/>
      <c r="B4" s="419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P4" s="270" t="s">
        <v>446</v>
      </c>
      <c r="Q4" s="270" t="s">
        <v>447</v>
      </c>
    </row>
    <row r="5" spans="1:17" ht="14" customHeight="1" x14ac:dyDescent="0.2">
      <c r="A5" s="419"/>
      <c r="B5" s="419"/>
      <c r="C5" s="268" t="s">
        <v>198</v>
      </c>
      <c r="D5" s="268" t="s">
        <v>197</v>
      </c>
      <c r="E5" s="268" t="s">
        <v>198</v>
      </c>
      <c r="F5" s="268" t="s">
        <v>197</v>
      </c>
      <c r="G5" s="268" t="s">
        <v>198</v>
      </c>
      <c r="H5" s="268" t="s">
        <v>197</v>
      </c>
      <c r="I5" s="268" t="s">
        <v>198</v>
      </c>
      <c r="J5" s="268" t="s">
        <v>197</v>
      </c>
      <c r="K5" s="268" t="s">
        <v>198</v>
      </c>
      <c r="L5" s="268" t="s">
        <v>197</v>
      </c>
      <c r="M5" s="268" t="s">
        <v>198</v>
      </c>
      <c r="N5" s="268" t="s">
        <v>197</v>
      </c>
      <c r="O5" s="268" t="s">
        <v>197</v>
      </c>
      <c r="P5" s="268" t="s">
        <v>15</v>
      </c>
      <c r="Q5" s="268" t="s">
        <v>197</v>
      </c>
    </row>
    <row r="6" spans="1:17" ht="14" customHeight="1" x14ac:dyDescent="0.15">
      <c r="A6" s="105">
        <v>1</v>
      </c>
      <c r="B6" s="40" t="s">
        <v>51</v>
      </c>
      <c r="C6" s="286">
        <v>0</v>
      </c>
      <c r="D6" s="286">
        <v>0</v>
      </c>
      <c r="E6" s="286">
        <v>149</v>
      </c>
      <c r="F6" s="286">
        <v>2443</v>
      </c>
      <c r="G6" s="290">
        <v>1847</v>
      </c>
      <c r="H6" s="290">
        <v>54215</v>
      </c>
      <c r="I6" s="290">
        <v>14153</v>
      </c>
      <c r="J6" s="286">
        <v>13725</v>
      </c>
      <c r="K6" s="286">
        <v>18905</v>
      </c>
      <c r="L6" s="286">
        <v>368984</v>
      </c>
      <c r="M6" s="40">
        <f>C6+E6+G6+I6+K6</f>
        <v>35054</v>
      </c>
      <c r="N6" s="40">
        <f>D6+F6+H6+J6+L6</f>
        <v>439367</v>
      </c>
      <c r="O6" s="45">
        <f>N6+'Pri Sec_outstanding_6'!P6</f>
        <v>1534364</v>
      </c>
      <c r="P6" s="45">
        <f>'CD Ratio_3(i)'!F6</f>
        <v>1534364</v>
      </c>
      <c r="Q6" s="45">
        <f>O6-P6</f>
        <v>0</v>
      </c>
    </row>
    <row r="7" spans="1:17" ht="14" customHeight="1" x14ac:dyDescent="0.15">
      <c r="A7" s="105">
        <v>2</v>
      </c>
      <c r="B7" s="40" t="s">
        <v>52</v>
      </c>
      <c r="C7" s="290">
        <v>0</v>
      </c>
      <c r="D7" s="290">
        <v>0</v>
      </c>
      <c r="E7" s="290">
        <v>8530</v>
      </c>
      <c r="F7" s="290">
        <v>21741.49</v>
      </c>
      <c r="G7" s="290">
        <v>4961</v>
      </c>
      <c r="H7" s="290">
        <v>102755</v>
      </c>
      <c r="I7" s="290">
        <v>19848</v>
      </c>
      <c r="J7" s="290">
        <v>101244.57</v>
      </c>
      <c r="K7" s="290">
        <v>82123</v>
      </c>
      <c r="L7" s="290">
        <f>698681.45+91629</f>
        <v>790310.45</v>
      </c>
      <c r="M7" s="40">
        <f t="shared" ref="M7:M57" si="0">C7+E7+G7+I7+K7</f>
        <v>115462</v>
      </c>
      <c r="N7" s="40">
        <f t="shared" ref="N7:N57" si="1">D7+F7+H7+J7+L7</f>
        <v>1016051.51</v>
      </c>
      <c r="O7" s="45">
        <f>N7+'Pri Sec_outstanding_6'!P7</f>
        <v>2623949.2199999997</v>
      </c>
      <c r="P7" s="45">
        <f>'CD Ratio_3(i)'!F7</f>
        <v>2623949</v>
      </c>
      <c r="Q7" s="45">
        <f t="shared" ref="Q7:Q57" si="2">O7-P7</f>
        <v>0.21999999973922968</v>
      </c>
    </row>
    <row r="8" spans="1:17" ht="14" customHeight="1" x14ac:dyDescent="0.15">
      <c r="A8" s="105">
        <v>3</v>
      </c>
      <c r="B8" s="40" t="s">
        <v>53</v>
      </c>
      <c r="C8" s="286">
        <v>0</v>
      </c>
      <c r="D8" s="286">
        <v>0</v>
      </c>
      <c r="E8" s="286">
        <v>131</v>
      </c>
      <c r="F8" s="286">
        <v>1742</v>
      </c>
      <c r="G8" s="290">
        <v>1252</v>
      </c>
      <c r="H8" s="290">
        <v>35266.79</v>
      </c>
      <c r="I8" s="290">
        <v>864</v>
      </c>
      <c r="J8" s="286">
        <v>1455.81</v>
      </c>
      <c r="K8" s="286">
        <v>11083</v>
      </c>
      <c r="L8" s="286">
        <v>172384.17</v>
      </c>
      <c r="M8" s="40">
        <f t="shared" si="0"/>
        <v>13330</v>
      </c>
      <c r="N8" s="40">
        <f t="shared" si="1"/>
        <v>210848.77000000002</v>
      </c>
      <c r="O8" s="45">
        <f>N8+'Pri Sec_outstanding_6'!P8</f>
        <v>543395.1</v>
      </c>
      <c r="P8" s="45">
        <f>'CD Ratio_3(i)'!F8</f>
        <v>543395.1</v>
      </c>
      <c r="Q8" s="45">
        <f t="shared" si="2"/>
        <v>0</v>
      </c>
    </row>
    <row r="9" spans="1:17" ht="14" customHeight="1" x14ac:dyDescent="0.15">
      <c r="A9" s="105">
        <v>4</v>
      </c>
      <c r="B9" s="40" t="s">
        <v>54</v>
      </c>
      <c r="C9" s="290">
        <v>62</v>
      </c>
      <c r="D9" s="290">
        <v>127</v>
      </c>
      <c r="E9" s="290">
        <v>378</v>
      </c>
      <c r="F9" s="290">
        <v>2958</v>
      </c>
      <c r="G9" s="290">
        <v>4748</v>
      </c>
      <c r="H9" s="290">
        <v>65400</v>
      </c>
      <c r="I9" s="290">
        <v>18190</v>
      </c>
      <c r="J9" s="290">
        <v>123546</v>
      </c>
      <c r="K9" s="290">
        <v>42412</v>
      </c>
      <c r="L9" s="290">
        <f>682145-218</f>
        <v>681927</v>
      </c>
      <c r="M9" s="40">
        <f t="shared" si="0"/>
        <v>65790</v>
      </c>
      <c r="N9" s="40">
        <f t="shared" si="1"/>
        <v>873958</v>
      </c>
      <c r="O9" s="45">
        <f>N9+'Pri Sec_outstanding_6'!P9</f>
        <v>1552237.1400000001</v>
      </c>
      <c r="P9" s="45">
        <f>'CD Ratio_3(i)'!F9</f>
        <v>1552237.2</v>
      </c>
      <c r="Q9" s="45">
        <f t="shared" si="2"/>
        <v>-5.9999999823048711E-2</v>
      </c>
    </row>
    <row r="10" spans="1:17" ht="14" customHeight="1" x14ac:dyDescent="0.15">
      <c r="A10" s="105">
        <v>5</v>
      </c>
      <c r="B10" s="40" t="s">
        <v>55</v>
      </c>
      <c r="C10" s="286">
        <v>0</v>
      </c>
      <c r="D10" s="286">
        <v>0</v>
      </c>
      <c r="E10" s="286">
        <v>277</v>
      </c>
      <c r="F10" s="286">
        <v>5476</v>
      </c>
      <c r="G10" s="286">
        <v>908</v>
      </c>
      <c r="H10" s="286">
        <v>18666</v>
      </c>
      <c r="I10" s="286">
        <v>33758</v>
      </c>
      <c r="J10" s="286">
        <v>139886</v>
      </c>
      <c r="K10" s="286">
        <v>48737</v>
      </c>
      <c r="L10" s="286">
        <v>192681</v>
      </c>
      <c r="M10" s="40">
        <f t="shared" si="0"/>
        <v>83680</v>
      </c>
      <c r="N10" s="40">
        <f t="shared" si="1"/>
        <v>356709</v>
      </c>
      <c r="O10" s="45">
        <f>N10+'Pri Sec_outstanding_6'!P10</f>
        <v>1441384</v>
      </c>
      <c r="P10" s="45">
        <f>'CD Ratio_3(i)'!F10</f>
        <v>1441384</v>
      </c>
      <c r="Q10" s="45">
        <f t="shared" si="2"/>
        <v>0</v>
      </c>
    </row>
    <row r="11" spans="1:17" ht="14" customHeight="1" x14ac:dyDescent="0.15">
      <c r="A11" s="105">
        <v>6</v>
      </c>
      <c r="B11" s="40" t="s">
        <v>56</v>
      </c>
      <c r="C11" s="286">
        <v>0</v>
      </c>
      <c r="D11" s="286">
        <v>0</v>
      </c>
      <c r="E11" s="286">
        <v>152</v>
      </c>
      <c r="F11" s="286">
        <v>1765</v>
      </c>
      <c r="G11" s="286">
        <v>1246</v>
      </c>
      <c r="H11" s="286">
        <v>28276</v>
      </c>
      <c r="I11" s="286">
        <v>12822</v>
      </c>
      <c r="J11" s="286">
        <v>37664</v>
      </c>
      <c r="K11" s="286">
        <v>2410</v>
      </c>
      <c r="L11" s="286">
        <v>538476</v>
      </c>
      <c r="M11" s="40">
        <f t="shared" si="0"/>
        <v>16630</v>
      </c>
      <c r="N11" s="40">
        <f t="shared" si="1"/>
        <v>606181</v>
      </c>
      <c r="O11" s="45">
        <f>N11+'Pri Sec_outstanding_6'!P11</f>
        <v>1090830</v>
      </c>
      <c r="P11" s="45">
        <f>'CD Ratio_3(i)'!F11</f>
        <v>1090830</v>
      </c>
      <c r="Q11" s="45">
        <f t="shared" si="2"/>
        <v>0</v>
      </c>
    </row>
    <row r="12" spans="1:17" ht="14" customHeight="1" x14ac:dyDescent="0.15">
      <c r="A12" s="105">
        <v>7</v>
      </c>
      <c r="B12" s="40" t="s">
        <v>57</v>
      </c>
      <c r="C12" s="286">
        <v>15</v>
      </c>
      <c r="D12" s="286">
        <v>54</v>
      </c>
      <c r="E12" s="286">
        <v>0</v>
      </c>
      <c r="F12" s="286">
        <v>0</v>
      </c>
      <c r="G12" s="286">
        <v>57</v>
      </c>
      <c r="H12" s="286">
        <v>3286</v>
      </c>
      <c r="I12" s="286">
        <v>765</v>
      </c>
      <c r="J12" s="286">
        <v>1306</v>
      </c>
      <c r="K12" s="286">
        <v>16764</v>
      </c>
      <c r="L12" s="286">
        <v>32160</v>
      </c>
      <c r="M12" s="40">
        <f t="shared" si="0"/>
        <v>17601</v>
      </c>
      <c r="N12" s="40">
        <f t="shared" si="1"/>
        <v>36806</v>
      </c>
      <c r="O12" s="45">
        <f>N12+'Pri Sec_outstanding_6'!P12</f>
        <v>107019</v>
      </c>
      <c r="P12" s="45">
        <f>'CD Ratio_3(i)'!F12</f>
        <v>107019</v>
      </c>
      <c r="Q12" s="45">
        <f t="shared" si="2"/>
        <v>0</v>
      </c>
    </row>
    <row r="13" spans="1:17" ht="14" customHeight="1" x14ac:dyDescent="0.15">
      <c r="A13" s="105">
        <v>8</v>
      </c>
      <c r="B13" s="40" t="s">
        <v>178</v>
      </c>
      <c r="C13" s="290">
        <v>2</v>
      </c>
      <c r="D13" s="290">
        <v>7</v>
      </c>
      <c r="E13" s="290">
        <v>16</v>
      </c>
      <c r="F13" s="290">
        <v>286</v>
      </c>
      <c r="G13" s="290">
        <v>64</v>
      </c>
      <c r="H13" s="290">
        <v>1911</v>
      </c>
      <c r="I13" s="290">
        <v>204</v>
      </c>
      <c r="J13" s="290">
        <v>241</v>
      </c>
      <c r="K13" s="290">
        <v>2511</v>
      </c>
      <c r="L13" s="290">
        <v>26117</v>
      </c>
      <c r="M13" s="40">
        <f t="shared" si="0"/>
        <v>2797</v>
      </c>
      <c r="N13" s="40">
        <f t="shared" si="1"/>
        <v>28562</v>
      </c>
      <c r="O13" s="45">
        <f>N13+'Pri Sec_outstanding_6'!P13</f>
        <v>95132</v>
      </c>
      <c r="P13" s="45">
        <f>'CD Ratio_3(i)'!F13</f>
        <v>95132</v>
      </c>
      <c r="Q13" s="45">
        <f t="shared" si="2"/>
        <v>0</v>
      </c>
    </row>
    <row r="14" spans="1:17" ht="14" customHeight="1" x14ac:dyDescent="0.15">
      <c r="A14" s="105">
        <v>9</v>
      </c>
      <c r="B14" s="40" t="s">
        <v>58</v>
      </c>
      <c r="C14" s="286">
        <v>7</v>
      </c>
      <c r="D14" s="286">
        <v>1455.24</v>
      </c>
      <c r="E14" s="286">
        <v>37</v>
      </c>
      <c r="F14" s="286">
        <v>315.83</v>
      </c>
      <c r="G14" s="286">
        <v>6794</v>
      </c>
      <c r="H14" s="286">
        <v>129980</v>
      </c>
      <c r="I14" s="286">
        <v>13087</v>
      </c>
      <c r="J14" s="286">
        <v>20125.689999999999</v>
      </c>
      <c r="K14" s="286">
        <v>31647</v>
      </c>
      <c r="L14" s="286">
        <v>1272393.81</v>
      </c>
      <c r="M14" s="40">
        <f t="shared" si="0"/>
        <v>51572</v>
      </c>
      <c r="N14" s="40">
        <f t="shared" si="1"/>
        <v>1424270.57</v>
      </c>
      <c r="O14" s="45">
        <f>N14+'Pri Sec_outstanding_6'!P14</f>
        <v>2491903.16</v>
      </c>
      <c r="P14" s="45">
        <f>'CD Ratio_3(i)'!F14</f>
        <v>2491903</v>
      </c>
      <c r="Q14" s="45">
        <f t="shared" si="2"/>
        <v>0.16000000014901161</v>
      </c>
    </row>
    <row r="15" spans="1:17" ht="14" customHeight="1" x14ac:dyDescent="0.15">
      <c r="A15" s="105">
        <v>10</v>
      </c>
      <c r="B15" s="40" t="s">
        <v>64</v>
      </c>
      <c r="C15" s="286">
        <v>1261</v>
      </c>
      <c r="D15" s="286">
        <v>4350</v>
      </c>
      <c r="E15" s="286">
        <v>0</v>
      </c>
      <c r="F15" s="286">
        <v>17402</v>
      </c>
      <c r="G15" s="286">
        <v>29798</v>
      </c>
      <c r="H15" s="286">
        <v>558356</v>
      </c>
      <c r="I15" s="286">
        <v>344554</v>
      </c>
      <c r="J15" s="286">
        <v>1095294</v>
      </c>
      <c r="K15" s="286">
        <v>443128</v>
      </c>
      <c r="L15" s="286">
        <v>2385571</v>
      </c>
      <c r="M15" s="40">
        <f t="shared" si="0"/>
        <v>818741</v>
      </c>
      <c r="N15" s="40">
        <f t="shared" si="1"/>
        <v>4060973</v>
      </c>
      <c r="O15" s="45">
        <f>N15+'Pri Sec_outstanding_6'!P15</f>
        <v>7112197</v>
      </c>
      <c r="P15" s="45">
        <f>'CD Ratio_3(i)'!F15</f>
        <v>7112197</v>
      </c>
      <c r="Q15" s="45">
        <f t="shared" si="2"/>
        <v>0</v>
      </c>
    </row>
    <row r="16" spans="1:17" ht="14" customHeight="1" x14ac:dyDescent="0.15">
      <c r="A16" s="105">
        <v>11</v>
      </c>
      <c r="B16" s="40" t="s">
        <v>179</v>
      </c>
      <c r="C16" s="290">
        <v>0</v>
      </c>
      <c r="D16" s="290">
        <v>0</v>
      </c>
      <c r="E16" s="290">
        <v>0</v>
      </c>
      <c r="F16" s="290">
        <v>0</v>
      </c>
      <c r="G16" s="290">
        <v>715</v>
      </c>
      <c r="H16" s="290">
        <v>24671</v>
      </c>
      <c r="I16" s="290">
        <v>1663</v>
      </c>
      <c r="J16" s="290">
        <v>1703</v>
      </c>
      <c r="K16" s="290">
        <v>7597</v>
      </c>
      <c r="L16" s="290">
        <v>87935</v>
      </c>
      <c r="M16" s="40">
        <f t="shared" si="0"/>
        <v>9975</v>
      </c>
      <c r="N16" s="40">
        <f t="shared" si="1"/>
        <v>114309</v>
      </c>
      <c r="O16" s="45">
        <f>N16+'Pri Sec_outstanding_6'!P16</f>
        <v>594083</v>
      </c>
      <c r="P16" s="45">
        <f>'CD Ratio_3(i)'!F16</f>
        <v>594083</v>
      </c>
      <c r="Q16" s="45">
        <f t="shared" si="2"/>
        <v>0</v>
      </c>
    </row>
    <row r="17" spans="1:17" ht="14" customHeight="1" x14ac:dyDescent="0.15">
      <c r="A17" s="105">
        <v>12</v>
      </c>
      <c r="B17" s="40" t="s">
        <v>60</v>
      </c>
      <c r="C17" s="286">
        <v>0</v>
      </c>
      <c r="D17" s="286">
        <v>0</v>
      </c>
      <c r="E17" s="286">
        <v>295</v>
      </c>
      <c r="F17" s="286">
        <v>4957</v>
      </c>
      <c r="G17" s="286">
        <v>2731</v>
      </c>
      <c r="H17" s="286">
        <v>60682</v>
      </c>
      <c r="I17" s="286">
        <v>30785</v>
      </c>
      <c r="J17" s="286">
        <v>112832</v>
      </c>
      <c r="K17" s="286">
        <v>21995</v>
      </c>
      <c r="L17" s="286">
        <v>410538</v>
      </c>
      <c r="M17" s="40">
        <f t="shared" si="0"/>
        <v>55806</v>
      </c>
      <c r="N17" s="40">
        <f t="shared" si="1"/>
        <v>589009</v>
      </c>
      <c r="O17" s="45">
        <f>N17+'Pri Sec_outstanding_6'!P17</f>
        <v>1619932</v>
      </c>
      <c r="P17" s="45">
        <f>'CD Ratio_3(i)'!F17</f>
        <v>1619932</v>
      </c>
      <c r="Q17" s="45">
        <f t="shared" si="2"/>
        <v>0</v>
      </c>
    </row>
    <row r="18" spans="1:17" s="46" customFormat="1" ht="14" customHeight="1" x14ac:dyDescent="0.15">
      <c r="A18" s="268"/>
      <c r="B18" s="42" t="s">
        <v>215</v>
      </c>
      <c r="C18" s="287">
        <f>SUM(C6:C17)</f>
        <v>1347</v>
      </c>
      <c r="D18" s="287">
        <f t="shared" ref="D18:L18" si="3">SUM(D6:D17)</f>
        <v>5993.24</v>
      </c>
      <c r="E18" s="287">
        <f t="shared" si="3"/>
        <v>9965</v>
      </c>
      <c r="F18" s="287">
        <f t="shared" si="3"/>
        <v>59086.320000000007</v>
      </c>
      <c r="G18" s="287">
        <f t="shared" si="3"/>
        <v>55121</v>
      </c>
      <c r="H18" s="287">
        <f t="shared" si="3"/>
        <v>1083464.79</v>
      </c>
      <c r="I18" s="287">
        <f t="shared" si="3"/>
        <v>490693</v>
      </c>
      <c r="J18" s="287">
        <f t="shared" si="3"/>
        <v>1649023.07</v>
      </c>
      <c r="K18" s="287">
        <f t="shared" si="3"/>
        <v>729312</v>
      </c>
      <c r="L18" s="287">
        <f t="shared" si="3"/>
        <v>6959477.4299999997</v>
      </c>
      <c r="M18" s="42">
        <f t="shared" si="0"/>
        <v>1286438</v>
      </c>
      <c r="N18" s="42">
        <f t="shared" si="1"/>
        <v>9757044.8499999996</v>
      </c>
      <c r="O18" s="45">
        <f>N18+'Pri Sec_outstanding_6'!P18</f>
        <v>20806425.620000001</v>
      </c>
      <c r="P18" s="45">
        <f>'CD Ratio_3(i)'!F18</f>
        <v>20806425.300000001</v>
      </c>
      <c r="Q18" s="46">
        <f t="shared" si="2"/>
        <v>0.32000000029802322</v>
      </c>
    </row>
    <row r="19" spans="1:17" ht="14" customHeight="1" x14ac:dyDescent="0.15">
      <c r="A19" s="105">
        <v>13</v>
      </c>
      <c r="B19" s="40" t="s">
        <v>41</v>
      </c>
      <c r="C19" s="290">
        <v>65</v>
      </c>
      <c r="D19" s="290">
        <v>1843.81</v>
      </c>
      <c r="E19" s="290">
        <v>4</v>
      </c>
      <c r="F19" s="290">
        <v>97.06</v>
      </c>
      <c r="G19" s="290">
        <v>1900</v>
      </c>
      <c r="H19" s="290">
        <v>48828.78</v>
      </c>
      <c r="I19" s="290">
        <v>9959</v>
      </c>
      <c r="J19" s="290">
        <v>78211.81</v>
      </c>
      <c r="K19" s="290">
        <v>55220</v>
      </c>
      <c r="L19" s="290">
        <f>426586-37374</f>
        <v>389212</v>
      </c>
      <c r="M19" s="40">
        <f t="shared" si="0"/>
        <v>67148</v>
      </c>
      <c r="N19" s="40">
        <f t="shared" si="1"/>
        <v>518193.45999999996</v>
      </c>
      <c r="O19" s="45">
        <f>N19+'Pri Sec_outstanding_6'!P19</f>
        <v>1193972.69</v>
      </c>
      <c r="P19" s="45">
        <f>'CD Ratio_3(i)'!F19</f>
        <v>1193972.8899999999</v>
      </c>
      <c r="Q19" s="45">
        <f t="shared" si="2"/>
        <v>-0.19999999995343387</v>
      </c>
    </row>
    <row r="20" spans="1:17" ht="14" customHeight="1" x14ac:dyDescent="0.15">
      <c r="A20" s="105">
        <v>14</v>
      </c>
      <c r="B20" s="40" t="s">
        <v>180</v>
      </c>
      <c r="C20" s="286">
        <v>0</v>
      </c>
      <c r="D20" s="286">
        <v>0</v>
      </c>
      <c r="E20" s="286">
        <v>0</v>
      </c>
      <c r="F20" s="286">
        <v>0</v>
      </c>
      <c r="G20" s="286">
        <v>0</v>
      </c>
      <c r="H20" s="286">
        <v>0</v>
      </c>
      <c r="I20" s="286">
        <v>0</v>
      </c>
      <c r="J20" s="286">
        <v>0</v>
      </c>
      <c r="K20" s="286">
        <v>17687</v>
      </c>
      <c r="L20" s="286">
        <v>114925.79</v>
      </c>
      <c r="M20" s="40">
        <f t="shared" si="0"/>
        <v>17687</v>
      </c>
      <c r="N20" s="40">
        <f t="shared" si="1"/>
        <v>114925.79</v>
      </c>
      <c r="O20" s="45">
        <f>N20+'Pri Sec_outstanding_6'!P20</f>
        <v>642877.18999999994</v>
      </c>
      <c r="P20" s="45">
        <f>'CD Ratio_3(i)'!F20</f>
        <v>642877.21</v>
      </c>
      <c r="Q20" s="45">
        <f t="shared" si="2"/>
        <v>-2.0000000018626451E-2</v>
      </c>
    </row>
    <row r="21" spans="1:17" s="46" customFormat="1" ht="14" customHeight="1" x14ac:dyDescent="0.15">
      <c r="A21" s="105">
        <v>15</v>
      </c>
      <c r="B21" s="40" t="s">
        <v>181</v>
      </c>
      <c r="C21" s="286">
        <v>0</v>
      </c>
      <c r="D21" s="286">
        <v>0</v>
      </c>
      <c r="E21" s="286">
        <v>0</v>
      </c>
      <c r="F21" s="286">
        <v>0</v>
      </c>
      <c r="G21" s="286">
        <v>0</v>
      </c>
      <c r="H21" s="286">
        <v>0</v>
      </c>
      <c r="I21" s="286">
        <v>0</v>
      </c>
      <c r="J21" s="286">
        <v>0</v>
      </c>
      <c r="K21" s="286">
        <v>877</v>
      </c>
      <c r="L21" s="286">
        <v>1548.62</v>
      </c>
      <c r="M21" s="40">
        <f t="shared" si="0"/>
        <v>877</v>
      </c>
      <c r="N21" s="40">
        <f t="shared" si="1"/>
        <v>1548.62</v>
      </c>
      <c r="O21" s="45">
        <f>N21+'Pri Sec_outstanding_6'!P21</f>
        <v>1879</v>
      </c>
      <c r="P21" s="45">
        <f>'CD Ratio_3(i)'!F21</f>
        <v>1879</v>
      </c>
      <c r="Q21" s="45">
        <f t="shared" si="2"/>
        <v>0</v>
      </c>
    </row>
    <row r="22" spans="1:17" ht="14" customHeight="1" x14ac:dyDescent="0.15">
      <c r="A22" s="105">
        <v>16</v>
      </c>
      <c r="B22" s="40" t="s">
        <v>45</v>
      </c>
      <c r="C22" s="286">
        <v>0</v>
      </c>
      <c r="D22" s="286">
        <v>0</v>
      </c>
      <c r="E22" s="286">
        <v>2</v>
      </c>
      <c r="F22" s="286">
        <v>25.76</v>
      </c>
      <c r="G22" s="286">
        <v>10</v>
      </c>
      <c r="H22" s="286">
        <v>351.12</v>
      </c>
      <c r="I22" s="286">
        <v>226</v>
      </c>
      <c r="J22" s="286">
        <v>426.65</v>
      </c>
      <c r="K22" s="286">
        <v>74</v>
      </c>
      <c r="L22" s="286">
        <v>2251.5100000000002</v>
      </c>
      <c r="M22" s="40">
        <f t="shared" si="0"/>
        <v>312</v>
      </c>
      <c r="N22" s="40">
        <f t="shared" si="1"/>
        <v>3055.04</v>
      </c>
      <c r="O22" s="45">
        <f>N22+'Pri Sec_outstanding_6'!P22</f>
        <v>12387.71</v>
      </c>
      <c r="P22" s="45">
        <f>'CD Ratio_3(i)'!F22</f>
        <v>12387.94</v>
      </c>
      <c r="Q22" s="45">
        <f t="shared" si="2"/>
        <v>-0.23000000000138243</v>
      </c>
    </row>
    <row r="23" spans="1:17" ht="14" customHeight="1" x14ac:dyDescent="0.15">
      <c r="A23" s="105">
        <v>17</v>
      </c>
      <c r="B23" s="40" t="s">
        <v>182</v>
      </c>
      <c r="C23" s="290">
        <v>99</v>
      </c>
      <c r="D23" s="290">
        <v>167</v>
      </c>
      <c r="E23" s="290">
        <v>2</v>
      </c>
      <c r="F23" s="290">
        <v>10</v>
      </c>
      <c r="G23" s="290">
        <v>192</v>
      </c>
      <c r="H23" s="290">
        <v>3817</v>
      </c>
      <c r="I23" s="290">
        <v>7</v>
      </c>
      <c r="J23" s="290">
        <v>14</v>
      </c>
      <c r="K23" s="290">
        <v>2500</v>
      </c>
      <c r="L23" s="290">
        <f>11306-3700</f>
        <v>7606</v>
      </c>
      <c r="M23" s="40">
        <f t="shared" si="0"/>
        <v>2800</v>
      </c>
      <c r="N23" s="40">
        <f t="shared" si="1"/>
        <v>11614</v>
      </c>
      <c r="O23" s="45">
        <f>N23+'Pri Sec_outstanding_6'!P23</f>
        <v>107611</v>
      </c>
      <c r="P23" s="45">
        <f>'CD Ratio_3(i)'!F23</f>
        <v>107611</v>
      </c>
      <c r="Q23" s="45">
        <f t="shared" si="2"/>
        <v>0</v>
      </c>
    </row>
    <row r="24" spans="1:17" ht="14" customHeight="1" x14ac:dyDescent="0.15">
      <c r="A24" s="105">
        <v>18</v>
      </c>
      <c r="B24" s="40" t="s">
        <v>183</v>
      </c>
      <c r="C24" s="286">
        <v>0</v>
      </c>
      <c r="D24" s="286">
        <v>0</v>
      </c>
      <c r="E24" s="286">
        <v>0</v>
      </c>
      <c r="F24" s="286">
        <v>0</v>
      </c>
      <c r="G24" s="286">
        <v>0</v>
      </c>
      <c r="H24" s="286">
        <v>0</v>
      </c>
      <c r="I24" s="286">
        <v>0</v>
      </c>
      <c r="J24" s="286">
        <v>0</v>
      </c>
      <c r="K24" s="286">
        <v>182</v>
      </c>
      <c r="L24" s="286">
        <v>407.84</v>
      </c>
      <c r="M24" s="40">
        <f t="shared" si="0"/>
        <v>182</v>
      </c>
      <c r="N24" s="40">
        <f t="shared" si="1"/>
        <v>407.84</v>
      </c>
      <c r="O24" s="45">
        <f>N24+'Pri Sec_outstanding_6'!P24</f>
        <v>524.22</v>
      </c>
      <c r="P24" s="45">
        <f>'CD Ratio_3(i)'!F24</f>
        <v>524</v>
      </c>
      <c r="Q24" s="45">
        <f t="shared" si="2"/>
        <v>0.22000000000002728</v>
      </c>
    </row>
    <row r="25" spans="1:17" ht="14" customHeight="1" x14ac:dyDescent="0.15">
      <c r="A25" s="105">
        <v>19</v>
      </c>
      <c r="B25" s="40" t="s">
        <v>184</v>
      </c>
      <c r="C25" s="286">
        <v>0</v>
      </c>
      <c r="D25" s="286">
        <v>0</v>
      </c>
      <c r="E25" s="286">
        <v>1</v>
      </c>
      <c r="F25" s="286">
        <v>1</v>
      </c>
      <c r="G25" s="286">
        <v>133</v>
      </c>
      <c r="H25" s="286">
        <v>3265</v>
      </c>
      <c r="I25" s="286">
        <v>660</v>
      </c>
      <c r="J25" s="286">
        <v>902</v>
      </c>
      <c r="K25" s="286">
        <v>5167</v>
      </c>
      <c r="L25" s="286">
        <v>22070</v>
      </c>
      <c r="M25" s="40">
        <f t="shared" si="0"/>
        <v>5961</v>
      </c>
      <c r="N25" s="40">
        <f t="shared" si="1"/>
        <v>26238</v>
      </c>
      <c r="O25" s="45">
        <f>N25+'Pri Sec_outstanding_6'!P25</f>
        <v>46874</v>
      </c>
      <c r="P25" s="45">
        <f>'CD Ratio_3(i)'!F25</f>
        <v>46874</v>
      </c>
      <c r="Q25" s="45">
        <f t="shared" si="2"/>
        <v>0</v>
      </c>
    </row>
    <row r="26" spans="1:17" ht="14" customHeight="1" x14ac:dyDescent="0.15">
      <c r="A26" s="105">
        <v>20</v>
      </c>
      <c r="B26" s="40" t="s">
        <v>65</v>
      </c>
      <c r="C26" s="286">
        <v>0</v>
      </c>
      <c r="D26" s="286">
        <v>0</v>
      </c>
      <c r="E26" s="286">
        <v>7</v>
      </c>
      <c r="F26" s="286">
        <v>52.26</v>
      </c>
      <c r="G26" s="286">
        <v>4313</v>
      </c>
      <c r="H26" s="286">
        <v>53815.89</v>
      </c>
      <c r="I26" s="286">
        <v>51529</v>
      </c>
      <c r="J26" s="286">
        <v>155502</v>
      </c>
      <c r="K26" s="286">
        <v>618424</v>
      </c>
      <c r="L26" s="286">
        <v>1234150.1599999999</v>
      </c>
      <c r="M26" s="40">
        <f t="shared" si="0"/>
        <v>674273</v>
      </c>
      <c r="N26" s="40">
        <f t="shared" si="1"/>
        <v>1443520.3099999998</v>
      </c>
      <c r="O26" s="45">
        <f>N26+'Pri Sec_outstanding_6'!P26</f>
        <v>2418507.2199999997</v>
      </c>
      <c r="P26" s="45">
        <f>'CD Ratio_3(i)'!F26</f>
        <v>2418507.23</v>
      </c>
      <c r="Q26" s="45">
        <f t="shared" si="2"/>
        <v>-1.0000000242143869E-2</v>
      </c>
    </row>
    <row r="27" spans="1:17" ht="14" customHeight="1" x14ac:dyDescent="0.15">
      <c r="A27" s="105">
        <v>21</v>
      </c>
      <c r="B27" s="40" t="s">
        <v>66</v>
      </c>
      <c r="C27" s="290">
        <v>0</v>
      </c>
      <c r="D27" s="290">
        <v>0</v>
      </c>
      <c r="E27" s="290">
        <v>11</v>
      </c>
      <c r="F27" s="290">
        <v>217</v>
      </c>
      <c r="G27" s="290">
        <v>5939</v>
      </c>
      <c r="H27" s="290">
        <v>160773</v>
      </c>
      <c r="I27" s="290">
        <v>0</v>
      </c>
      <c r="J27" s="290">
        <v>0</v>
      </c>
      <c r="K27" s="290">
        <v>246647</v>
      </c>
      <c r="L27" s="290">
        <v>977220</v>
      </c>
      <c r="M27" s="40">
        <f t="shared" si="0"/>
        <v>252597</v>
      </c>
      <c r="N27" s="40">
        <f t="shared" si="1"/>
        <v>1138210</v>
      </c>
      <c r="O27" s="45">
        <f>N27+'Pri Sec_outstanding_6'!P27</f>
        <v>2268911</v>
      </c>
      <c r="P27" s="45">
        <f>'CD Ratio_3(i)'!F27</f>
        <v>2268911</v>
      </c>
      <c r="Q27" s="45">
        <f t="shared" si="2"/>
        <v>0</v>
      </c>
    </row>
    <row r="28" spans="1:17" ht="14" customHeight="1" x14ac:dyDescent="0.15">
      <c r="A28" s="105">
        <v>22</v>
      </c>
      <c r="B28" s="40" t="s">
        <v>75</v>
      </c>
      <c r="C28" s="286">
        <v>0</v>
      </c>
      <c r="D28" s="286">
        <v>0</v>
      </c>
      <c r="E28" s="286">
        <v>19</v>
      </c>
      <c r="F28" s="286">
        <v>865.83</v>
      </c>
      <c r="G28" s="286">
        <v>1007</v>
      </c>
      <c r="H28" s="286">
        <v>32315.37</v>
      </c>
      <c r="I28" s="286">
        <v>4590</v>
      </c>
      <c r="J28" s="286">
        <v>14658</v>
      </c>
      <c r="K28" s="286">
        <v>390</v>
      </c>
      <c r="L28" s="286">
        <v>4709.63</v>
      </c>
      <c r="M28" s="40">
        <f t="shared" si="0"/>
        <v>6006</v>
      </c>
      <c r="N28" s="40">
        <f t="shared" si="1"/>
        <v>52548.829999999994</v>
      </c>
      <c r="O28" s="45">
        <f>N28+'Pri Sec_outstanding_6'!P28</f>
        <v>282359</v>
      </c>
      <c r="P28" s="45">
        <f>'CD Ratio_3(i)'!F28</f>
        <v>282359</v>
      </c>
      <c r="Q28" s="45">
        <f t="shared" si="2"/>
        <v>0</v>
      </c>
    </row>
    <row r="29" spans="1:17" ht="14" customHeight="1" x14ac:dyDescent="0.15">
      <c r="A29" s="105">
        <v>23</v>
      </c>
      <c r="B29" s="40" t="s">
        <v>379</v>
      </c>
      <c r="C29" s="286">
        <v>0</v>
      </c>
      <c r="D29" s="286">
        <v>0</v>
      </c>
      <c r="E29" s="286">
        <v>0</v>
      </c>
      <c r="F29" s="286">
        <v>0</v>
      </c>
      <c r="G29" s="286">
        <v>0</v>
      </c>
      <c r="H29" s="286">
        <v>0</v>
      </c>
      <c r="I29" s="286">
        <v>0</v>
      </c>
      <c r="J29" s="286">
        <v>0</v>
      </c>
      <c r="K29" s="286">
        <v>198122</v>
      </c>
      <c r="L29" s="286">
        <v>157539</v>
      </c>
      <c r="M29" s="40">
        <f t="shared" si="0"/>
        <v>198122</v>
      </c>
      <c r="N29" s="40">
        <f t="shared" si="1"/>
        <v>157539</v>
      </c>
      <c r="O29" s="45">
        <f>N29+'Pri Sec_outstanding_6'!P29</f>
        <v>329410.36</v>
      </c>
      <c r="P29" s="45">
        <f>'CD Ratio_3(i)'!F29</f>
        <v>329410</v>
      </c>
      <c r="Q29" s="45">
        <f t="shared" si="2"/>
        <v>0.35999999998603016</v>
      </c>
    </row>
    <row r="30" spans="1:17" ht="14" customHeight="1" x14ac:dyDescent="0.15">
      <c r="A30" s="105">
        <v>24</v>
      </c>
      <c r="B30" s="40" t="s">
        <v>185</v>
      </c>
      <c r="C30" s="286">
        <v>0</v>
      </c>
      <c r="D30" s="286">
        <v>0</v>
      </c>
      <c r="E30" s="286">
        <v>0</v>
      </c>
      <c r="F30" s="286">
        <v>0</v>
      </c>
      <c r="G30" s="286">
        <v>116</v>
      </c>
      <c r="H30" s="286">
        <v>1691</v>
      </c>
      <c r="I30" s="286">
        <v>0</v>
      </c>
      <c r="J30" s="286">
        <v>0</v>
      </c>
      <c r="K30" s="286">
        <v>129379</v>
      </c>
      <c r="L30" s="286">
        <v>167396</v>
      </c>
      <c r="M30" s="40">
        <f t="shared" si="0"/>
        <v>129495</v>
      </c>
      <c r="N30" s="40">
        <f t="shared" si="1"/>
        <v>169087</v>
      </c>
      <c r="O30" s="45">
        <f>N30+'Pri Sec_outstanding_6'!P30</f>
        <v>594251</v>
      </c>
      <c r="P30" s="45">
        <f>'CD Ratio_3(i)'!F30</f>
        <v>594251</v>
      </c>
      <c r="Q30" s="45">
        <f t="shared" si="2"/>
        <v>0</v>
      </c>
    </row>
    <row r="31" spans="1:17" ht="14" customHeight="1" x14ac:dyDescent="0.15">
      <c r="A31" s="105">
        <v>25</v>
      </c>
      <c r="B31" s="40" t="s">
        <v>186</v>
      </c>
      <c r="C31" s="286">
        <v>0</v>
      </c>
      <c r="D31" s="286">
        <v>0</v>
      </c>
      <c r="E31" s="286">
        <v>0</v>
      </c>
      <c r="F31" s="286">
        <v>0</v>
      </c>
      <c r="G31" s="286">
        <v>15</v>
      </c>
      <c r="H31" s="286">
        <v>370</v>
      </c>
      <c r="I31" s="286">
        <v>360</v>
      </c>
      <c r="J31" s="286">
        <v>725</v>
      </c>
      <c r="K31" s="286">
        <v>60</v>
      </c>
      <c r="L31" s="286">
        <v>517</v>
      </c>
      <c r="M31" s="40">
        <f t="shared" si="0"/>
        <v>435</v>
      </c>
      <c r="N31" s="40">
        <f t="shared" si="1"/>
        <v>1612</v>
      </c>
      <c r="O31" s="45">
        <f>N31+'Pri Sec_outstanding_6'!P31</f>
        <v>3910</v>
      </c>
      <c r="P31" s="45">
        <f>'CD Ratio_3(i)'!F31</f>
        <v>3910</v>
      </c>
      <c r="Q31" s="45">
        <f t="shared" si="2"/>
        <v>0</v>
      </c>
    </row>
    <row r="32" spans="1:17" ht="14" customHeight="1" x14ac:dyDescent="0.15">
      <c r="A32" s="105">
        <v>26</v>
      </c>
      <c r="B32" s="40" t="s">
        <v>187</v>
      </c>
      <c r="C32" s="286">
        <v>3</v>
      </c>
      <c r="D32" s="286">
        <v>225.8</v>
      </c>
      <c r="E32" s="286">
        <v>0</v>
      </c>
      <c r="F32" s="286">
        <v>0</v>
      </c>
      <c r="G32" s="286">
        <v>112</v>
      </c>
      <c r="H32" s="286">
        <v>2183.94</v>
      </c>
      <c r="I32" s="286">
        <v>180</v>
      </c>
      <c r="J32" s="286">
        <v>1069.9000000000001</v>
      </c>
      <c r="K32" s="286">
        <v>0</v>
      </c>
      <c r="L32" s="286">
        <v>0</v>
      </c>
      <c r="M32" s="40">
        <f t="shared" si="0"/>
        <v>295</v>
      </c>
      <c r="N32" s="40">
        <f t="shared" si="1"/>
        <v>3479.6400000000003</v>
      </c>
      <c r="O32" s="45">
        <f>N32+'Pri Sec_outstanding_6'!P32</f>
        <v>42037.8</v>
      </c>
      <c r="P32" s="45">
        <f>'CD Ratio_3(i)'!F32</f>
        <v>42037.8</v>
      </c>
      <c r="Q32" s="45">
        <f t="shared" si="2"/>
        <v>0</v>
      </c>
    </row>
    <row r="33" spans="1:17" ht="14" customHeight="1" x14ac:dyDescent="0.15">
      <c r="A33" s="105">
        <v>27</v>
      </c>
      <c r="B33" s="40" t="s">
        <v>188</v>
      </c>
      <c r="C33" s="286">
        <v>0</v>
      </c>
      <c r="D33" s="286">
        <v>0</v>
      </c>
      <c r="E33" s="286">
        <v>0</v>
      </c>
      <c r="F33" s="286">
        <v>0</v>
      </c>
      <c r="G33" s="286">
        <v>0</v>
      </c>
      <c r="H33" s="286">
        <v>0</v>
      </c>
      <c r="I33" s="286">
        <v>0</v>
      </c>
      <c r="J33" s="286">
        <v>0</v>
      </c>
      <c r="K33" s="286">
        <v>53</v>
      </c>
      <c r="L33" s="286">
        <v>2786.54</v>
      </c>
      <c r="M33" s="40">
        <f t="shared" si="0"/>
        <v>53</v>
      </c>
      <c r="N33" s="40">
        <f t="shared" si="1"/>
        <v>2786.54</v>
      </c>
      <c r="O33" s="45">
        <f>N33+'Pri Sec_outstanding_6'!P33</f>
        <v>7968.28</v>
      </c>
      <c r="P33" s="45">
        <f>'CD Ratio_3(i)'!F33</f>
        <v>7968.28</v>
      </c>
      <c r="Q33" s="45">
        <f t="shared" si="2"/>
        <v>0</v>
      </c>
    </row>
    <row r="34" spans="1:17" ht="14" customHeight="1" x14ac:dyDescent="0.15">
      <c r="A34" s="105">
        <v>28</v>
      </c>
      <c r="B34" s="40" t="s">
        <v>67</v>
      </c>
      <c r="C34" s="286">
        <v>0</v>
      </c>
      <c r="D34" s="286">
        <v>0</v>
      </c>
      <c r="E34" s="286">
        <v>0</v>
      </c>
      <c r="F34" s="286">
        <v>0</v>
      </c>
      <c r="G34" s="286">
        <v>0</v>
      </c>
      <c r="H34" s="286">
        <v>0</v>
      </c>
      <c r="I34" s="286">
        <v>0</v>
      </c>
      <c r="J34" s="286">
        <v>0</v>
      </c>
      <c r="K34" s="286">
        <v>17621</v>
      </c>
      <c r="L34" s="286">
        <v>133241.28</v>
      </c>
      <c r="M34" s="40">
        <f t="shared" si="0"/>
        <v>17621</v>
      </c>
      <c r="N34" s="40">
        <f t="shared" si="1"/>
        <v>133241.28</v>
      </c>
      <c r="O34" s="45">
        <f>N34+'Pri Sec_outstanding_6'!P34</f>
        <v>568451.11</v>
      </c>
      <c r="P34" s="45">
        <f>'CD Ratio_3(i)'!F34</f>
        <v>568451.12</v>
      </c>
      <c r="Q34" s="45">
        <f t="shared" si="2"/>
        <v>-1.0000000009313226E-2</v>
      </c>
    </row>
    <row r="35" spans="1:17" ht="14" customHeight="1" x14ac:dyDescent="0.15">
      <c r="A35" s="105">
        <v>29</v>
      </c>
      <c r="B35" s="40" t="s">
        <v>189</v>
      </c>
      <c r="C35" s="286">
        <v>0</v>
      </c>
      <c r="D35" s="286">
        <v>0</v>
      </c>
      <c r="E35" s="286">
        <v>0</v>
      </c>
      <c r="F35" s="286">
        <v>0</v>
      </c>
      <c r="G35" s="286">
        <v>7</v>
      </c>
      <c r="H35" s="286">
        <v>34</v>
      </c>
      <c r="I35" s="286">
        <v>0</v>
      </c>
      <c r="J35" s="286">
        <v>0</v>
      </c>
      <c r="K35" s="286">
        <v>130</v>
      </c>
      <c r="L35" s="286">
        <v>4391</v>
      </c>
      <c r="M35" s="40">
        <f t="shared" si="0"/>
        <v>137</v>
      </c>
      <c r="N35" s="40">
        <f t="shared" si="1"/>
        <v>4425</v>
      </c>
      <c r="O35" s="45">
        <f>N35+'Pri Sec_outstanding_6'!P35</f>
        <v>6126</v>
      </c>
      <c r="P35" s="45">
        <f>'CD Ratio_3(i)'!F35</f>
        <v>6126</v>
      </c>
      <c r="Q35" s="45">
        <f t="shared" si="2"/>
        <v>0</v>
      </c>
    </row>
    <row r="36" spans="1:17" ht="14" customHeight="1" x14ac:dyDescent="0.15">
      <c r="A36" s="105">
        <v>30</v>
      </c>
      <c r="B36" s="40" t="s">
        <v>190</v>
      </c>
      <c r="C36" s="286">
        <v>51</v>
      </c>
      <c r="D36" s="286">
        <v>530</v>
      </c>
      <c r="E36" s="286">
        <v>0</v>
      </c>
      <c r="F36" s="286">
        <v>0</v>
      </c>
      <c r="G36" s="286">
        <v>11</v>
      </c>
      <c r="H36" s="286">
        <v>673</v>
      </c>
      <c r="I36" s="286">
        <v>3821</v>
      </c>
      <c r="J36" s="286">
        <v>17531</v>
      </c>
      <c r="K36" s="286">
        <v>18</v>
      </c>
      <c r="L36" s="286">
        <v>1293</v>
      </c>
      <c r="M36" s="40">
        <f t="shared" si="0"/>
        <v>3901</v>
      </c>
      <c r="N36" s="40">
        <f t="shared" si="1"/>
        <v>20027</v>
      </c>
      <c r="O36" s="45">
        <f>N36+'Pri Sec_outstanding_6'!P36</f>
        <v>86922</v>
      </c>
      <c r="P36" s="45">
        <f>'CD Ratio_3(i)'!F36</f>
        <v>86922</v>
      </c>
      <c r="Q36" s="45">
        <f t="shared" si="2"/>
        <v>0</v>
      </c>
    </row>
    <row r="37" spans="1:17" ht="14" customHeight="1" x14ac:dyDescent="0.15">
      <c r="A37" s="105">
        <v>31</v>
      </c>
      <c r="B37" s="40" t="s">
        <v>191</v>
      </c>
      <c r="C37" s="286">
        <v>0</v>
      </c>
      <c r="D37" s="286">
        <v>0</v>
      </c>
      <c r="E37" s="286">
        <v>0</v>
      </c>
      <c r="F37" s="286">
        <v>0</v>
      </c>
      <c r="G37" s="286">
        <v>20</v>
      </c>
      <c r="H37" s="286">
        <v>715</v>
      </c>
      <c r="I37" s="286">
        <v>322</v>
      </c>
      <c r="J37" s="286">
        <v>1994</v>
      </c>
      <c r="K37" s="286">
        <v>0</v>
      </c>
      <c r="L37" s="286">
        <v>0</v>
      </c>
      <c r="M37" s="40">
        <f t="shared" si="0"/>
        <v>342</v>
      </c>
      <c r="N37" s="40">
        <f t="shared" si="1"/>
        <v>2709</v>
      </c>
      <c r="O37" s="45">
        <f>N37+'Pri Sec_outstanding_6'!P37</f>
        <v>9715</v>
      </c>
      <c r="P37" s="45">
        <f>'CD Ratio_3(i)'!F37</f>
        <v>9715</v>
      </c>
      <c r="Q37" s="45">
        <f t="shared" si="2"/>
        <v>0</v>
      </c>
    </row>
    <row r="38" spans="1:17" ht="14" customHeight="1" x14ac:dyDescent="0.15">
      <c r="A38" s="105">
        <v>32</v>
      </c>
      <c r="B38" s="40" t="s">
        <v>71</v>
      </c>
      <c r="C38" s="290">
        <v>0</v>
      </c>
      <c r="D38" s="290">
        <v>0</v>
      </c>
      <c r="E38" s="290">
        <v>0</v>
      </c>
      <c r="F38" s="290">
        <v>0</v>
      </c>
      <c r="G38" s="290">
        <v>0</v>
      </c>
      <c r="H38" s="290">
        <v>0</v>
      </c>
      <c r="I38" s="290">
        <v>0</v>
      </c>
      <c r="J38" s="290">
        <v>0</v>
      </c>
      <c r="K38" s="290">
        <v>0</v>
      </c>
      <c r="L38" s="290">
        <v>9117</v>
      </c>
      <c r="M38" s="40">
        <f t="shared" si="0"/>
        <v>0</v>
      </c>
      <c r="N38" s="40">
        <f t="shared" si="1"/>
        <v>9117</v>
      </c>
      <c r="O38" s="45">
        <f>N38+'Pri Sec_outstanding_6'!P38</f>
        <v>26216</v>
      </c>
      <c r="P38" s="45">
        <f>'CD Ratio_3(i)'!F38</f>
        <v>26216.322560000001</v>
      </c>
      <c r="Q38" s="45">
        <f t="shared" si="2"/>
        <v>-0.32256000000052154</v>
      </c>
    </row>
    <row r="39" spans="1:17" ht="14" customHeight="1" x14ac:dyDescent="0.15">
      <c r="A39" s="105">
        <v>33</v>
      </c>
      <c r="B39" s="40" t="s">
        <v>192</v>
      </c>
      <c r="C39" s="286">
        <v>0</v>
      </c>
      <c r="D39" s="286">
        <v>0</v>
      </c>
      <c r="E39" s="286">
        <v>0</v>
      </c>
      <c r="F39" s="286">
        <v>0</v>
      </c>
      <c r="G39" s="286">
        <v>9</v>
      </c>
      <c r="H39" s="286">
        <v>257</v>
      </c>
      <c r="I39" s="286">
        <v>190</v>
      </c>
      <c r="J39" s="286">
        <v>316</v>
      </c>
      <c r="K39" s="286">
        <v>9</v>
      </c>
      <c r="L39" s="286">
        <v>3117</v>
      </c>
      <c r="M39" s="40">
        <f t="shared" si="0"/>
        <v>208</v>
      </c>
      <c r="N39" s="40">
        <f t="shared" si="1"/>
        <v>3690</v>
      </c>
      <c r="O39" s="45">
        <f>N39+'Pri Sec_outstanding_6'!P39</f>
        <v>6680.26</v>
      </c>
      <c r="P39" s="45">
        <f>'CD Ratio_3(i)'!F39</f>
        <v>6680</v>
      </c>
      <c r="Q39" s="45">
        <f t="shared" si="2"/>
        <v>0.26000000000021828</v>
      </c>
    </row>
    <row r="40" spans="1:17" ht="14" customHeight="1" x14ac:dyDescent="0.15">
      <c r="A40" s="105">
        <v>34</v>
      </c>
      <c r="B40" s="40" t="s">
        <v>70</v>
      </c>
      <c r="C40" s="286">
        <v>0</v>
      </c>
      <c r="D40" s="286">
        <v>0</v>
      </c>
      <c r="E40" s="286">
        <v>0</v>
      </c>
      <c r="F40" s="286">
        <v>0</v>
      </c>
      <c r="G40" s="286">
        <v>349</v>
      </c>
      <c r="H40" s="286">
        <v>6727</v>
      </c>
      <c r="I40" s="286">
        <v>2224</v>
      </c>
      <c r="J40" s="286">
        <v>7302</v>
      </c>
      <c r="K40" s="286">
        <v>21756</v>
      </c>
      <c r="L40" s="286">
        <v>53911</v>
      </c>
      <c r="M40" s="40">
        <f t="shared" si="0"/>
        <v>24329</v>
      </c>
      <c r="N40" s="40">
        <f t="shared" si="1"/>
        <v>67940</v>
      </c>
      <c r="O40" s="45">
        <f>N40+'Pri Sec_outstanding_6'!P40</f>
        <v>217403</v>
      </c>
      <c r="P40" s="45">
        <f>'CD Ratio_3(i)'!F40</f>
        <v>217403</v>
      </c>
      <c r="Q40" s="45">
        <f t="shared" si="2"/>
        <v>0</v>
      </c>
    </row>
    <row r="41" spans="1:17" s="46" customFormat="1" ht="14" customHeight="1" x14ac:dyDescent="0.15">
      <c r="A41" s="268"/>
      <c r="B41" s="42" t="s">
        <v>213</v>
      </c>
      <c r="C41" s="287">
        <f>SUM(C19:C40)</f>
        <v>218</v>
      </c>
      <c r="D41" s="287">
        <f t="shared" ref="D41:L41" si="4">SUM(D19:D40)</f>
        <v>2766.61</v>
      </c>
      <c r="E41" s="287">
        <f t="shared" si="4"/>
        <v>46</v>
      </c>
      <c r="F41" s="287">
        <f t="shared" si="4"/>
        <v>1268.9100000000001</v>
      </c>
      <c r="G41" s="287">
        <f t="shared" si="4"/>
        <v>14133</v>
      </c>
      <c r="H41" s="287">
        <f t="shared" si="4"/>
        <v>315817.10000000003</v>
      </c>
      <c r="I41" s="287">
        <f t="shared" si="4"/>
        <v>74068</v>
      </c>
      <c r="J41" s="287">
        <f t="shared" si="4"/>
        <v>278652.36</v>
      </c>
      <c r="K41" s="287">
        <f t="shared" si="4"/>
        <v>1314316</v>
      </c>
      <c r="L41" s="287">
        <f t="shared" si="4"/>
        <v>3287410.3699999996</v>
      </c>
      <c r="M41" s="42">
        <f t="shared" si="0"/>
        <v>1402781</v>
      </c>
      <c r="N41" s="42">
        <f t="shared" si="1"/>
        <v>3885915.3499999996</v>
      </c>
      <c r="O41" s="45">
        <f>N41+'Pri Sec_outstanding_6'!P41</f>
        <v>8874993.8399999999</v>
      </c>
      <c r="P41" s="45">
        <f>'CD Ratio_3(i)'!F41</f>
        <v>8874993.7925599981</v>
      </c>
      <c r="Q41" s="46">
        <f t="shared" si="2"/>
        <v>4.7440001741051674E-2</v>
      </c>
    </row>
    <row r="42" spans="1:17" s="46" customFormat="1" ht="14" customHeight="1" x14ac:dyDescent="0.15">
      <c r="A42" s="268"/>
      <c r="B42" s="289" t="s">
        <v>311</v>
      </c>
      <c r="C42" s="287">
        <f>C41+C18</f>
        <v>1565</v>
      </c>
      <c r="D42" s="287">
        <f t="shared" ref="D42:L42" si="5">D41+D18</f>
        <v>8759.85</v>
      </c>
      <c r="E42" s="287">
        <f t="shared" si="5"/>
        <v>10011</v>
      </c>
      <c r="F42" s="287">
        <f t="shared" si="5"/>
        <v>60355.23000000001</v>
      </c>
      <c r="G42" s="287">
        <f t="shared" si="5"/>
        <v>69254</v>
      </c>
      <c r="H42" s="287">
        <f t="shared" si="5"/>
        <v>1399281.8900000001</v>
      </c>
      <c r="I42" s="287">
        <f t="shared" si="5"/>
        <v>564761</v>
      </c>
      <c r="J42" s="287">
        <f t="shared" si="5"/>
        <v>1927675.4300000002</v>
      </c>
      <c r="K42" s="287">
        <f t="shared" si="5"/>
        <v>2043628</v>
      </c>
      <c r="L42" s="287">
        <f t="shared" si="5"/>
        <v>10246887.799999999</v>
      </c>
      <c r="M42" s="42">
        <f t="shared" si="0"/>
        <v>2689219</v>
      </c>
      <c r="N42" s="42">
        <f t="shared" si="1"/>
        <v>13642960.199999999</v>
      </c>
      <c r="O42" s="45">
        <f>N42+'Pri Sec_outstanding_6'!P42</f>
        <v>29681419.460000001</v>
      </c>
      <c r="P42" s="45">
        <f>'CD Ratio_3(i)'!F42</f>
        <v>29681419.092560001</v>
      </c>
      <c r="Q42" s="46">
        <f t="shared" si="2"/>
        <v>0.36744000017642975</v>
      </c>
    </row>
    <row r="43" spans="1:17" s="46" customFormat="1" ht="14" customHeight="1" x14ac:dyDescent="0.15">
      <c r="A43" s="105">
        <v>35</v>
      </c>
      <c r="B43" s="40" t="s">
        <v>193</v>
      </c>
      <c r="C43" s="286">
        <v>0</v>
      </c>
      <c r="D43" s="286">
        <v>0</v>
      </c>
      <c r="E43" s="286">
        <v>0</v>
      </c>
      <c r="F43" s="286">
        <v>0</v>
      </c>
      <c r="G43" s="286">
        <v>9</v>
      </c>
      <c r="H43" s="286">
        <v>281</v>
      </c>
      <c r="I43" s="286">
        <v>2969</v>
      </c>
      <c r="J43" s="286">
        <v>5812</v>
      </c>
      <c r="K43" s="286">
        <v>9846</v>
      </c>
      <c r="L43" s="286">
        <v>14675</v>
      </c>
      <c r="M43" s="40">
        <f t="shared" si="0"/>
        <v>12824</v>
      </c>
      <c r="N43" s="40">
        <f t="shared" si="1"/>
        <v>20768</v>
      </c>
      <c r="O43" s="45">
        <f>N43+'Pri Sec_outstanding_6'!P43</f>
        <v>277653</v>
      </c>
      <c r="P43" s="45">
        <f>'CD Ratio_3(i)'!F43</f>
        <v>277653</v>
      </c>
      <c r="Q43" s="45">
        <f t="shared" si="2"/>
        <v>0</v>
      </c>
    </row>
    <row r="44" spans="1:17" s="46" customFormat="1" ht="14" customHeight="1" x14ac:dyDescent="0.15">
      <c r="A44" s="105">
        <v>36</v>
      </c>
      <c r="B44" s="40" t="s">
        <v>382</v>
      </c>
      <c r="C44" s="286">
        <v>0</v>
      </c>
      <c r="D44" s="286">
        <v>0</v>
      </c>
      <c r="E44" s="286">
        <v>0</v>
      </c>
      <c r="F44" s="286">
        <v>0</v>
      </c>
      <c r="G44" s="286">
        <v>182</v>
      </c>
      <c r="H44" s="286">
        <v>4199.38</v>
      </c>
      <c r="I44" s="286">
        <v>8195</v>
      </c>
      <c r="J44" s="286">
        <v>9220.36</v>
      </c>
      <c r="K44" s="286">
        <v>42299</v>
      </c>
      <c r="L44" s="286">
        <v>108773.82</v>
      </c>
      <c r="M44" s="40">
        <f t="shared" si="0"/>
        <v>50676</v>
      </c>
      <c r="N44" s="40">
        <f t="shared" si="1"/>
        <v>122193.56000000001</v>
      </c>
      <c r="O44" s="45">
        <f>N44+'Pri Sec_outstanding_6'!P44</f>
        <v>1090244.31</v>
      </c>
      <c r="P44" s="45">
        <f>'CD Ratio_3(i)'!F44</f>
        <v>1090244.31</v>
      </c>
      <c r="Q44" s="45">
        <f t="shared" si="2"/>
        <v>0</v>
      </c>
    </row>
    <row r="45" spans="1:17" s="46" customFormat="1" ht="14" customHeight="1" x14ac:dyDescent="0.15">
      <c r="A45" s="268"/>
      <c r="B45" s="42" t="s">
        <v>216</v>
      </c>
      <c r="C45" s="287">
        <f>C44+C43</f>
        <v>0</v>
      </c>
      <c r="D45" s="287">
        <f t="shared" ref="D45:L45" si="6">D44+D43</f>
        <v>0</v>
      </c>
      <c r="E45" s="287">
        <f t="shared" si="6"/>
        <v>0</v>
      </c>
      <c r="F45" s="287">
        <f t="shared" si="6"/>
        <v>0</v>
      </c>
      <c r="G45" s="287">
        <f t="shared" si="6"/>
        <v>191</v>
      </c>
      <c r="H45" s="287">
        <f t="shared" si="6"/>
        <v>4480.38</v>
      </c>
      <c r="I45" s="287">
        <f t="shared" si="6"/>
        <v>11164</v>
      </c>
      <c r="J45" s="287">
        <f t="shared" si="6"/>
        <v>15032.36</v>
      </c>
      <c r="K45" s="287">
        <f t="shared" si="6"/>
        <v>52145</v>
      </c>
      <c r="L45" s="287">
        <f t="shared" si="6"/>
        <v>123448.82</v>
      </c>
      <c r="M45" s="42">
        <f t="shared" si="0"/>
        <v>63500</v>
      </c>
      <c r="N45" s="42">
        <f t="shared" si="1"/>
        <v>142961.56</v>
      </c>
      <c r="O45" s="45">
        <f>N45+'Pri Sec_outstanding_6'!P45</f>
        <v>1367897.31</v>
      </c>
      <c r="P45" s="45">
        <f>'CD Ratio_3(i)'!F45</f>
        <v>1367897.31</v>
      </c>
      <c r="Q45" s="45">
        <f t="shared" si="2"/>
        <v>0</v>
      </c>
    </row>
    <row r="46" spans="1:17" ht="14" customHeight="1" x14ac:dyDescent="0.15">
      <c r="A46" s="105">
        <v>37</v>
      </c>
      <c r="B46" s="40" t="s">
        <v>312</v>
      </c>
      <c r="C46" s="290">
        <v>0</v>
      </c>
      <c r="D46" s="290">
        <v>0</v>
      </c>
      <c r="E46" s="290">
        <v>0</v>
      </c>
      <c r="F46" s="290">
        <v>0</v>
      </c>
      <c r="G46" s="290">
        <v>0</v>
      </c>
      <c r="H46" s="290">
        <v>0</v>
      </c>
      <c r="I46" s="290">
        <v>3665</v>
      </c>
      <c r="J46" s="290">
        <v>4313</v>
      </c>
      <c r="K46" s="290">
        <v>11535</v>
      </c>
      <c r="L46" s="290">
        <f>81523+41779</f>
        <v>123302</v>
      </c>
      <c r="M46" s="40">
        <f t="shared" si="0"/>
        <v>15200</v>
      </c>
      <c r="N46" s="40">
        <f t="shared" si="1"/>
        <v>127615</v>
      </c>
      <c r="O46" s="45">
        <f>N46+'Pri Sec_outstanding_6'!P46</f>
        <v>3595261</v>
      </c>
      <c r="P46" s="45">
        <f>'CD Ratio_3(i)'!F46</f>
        <v>3595261</v>
      </c>
      <c r="Q46" s="45">
        <f t="shared" si="2"/>
        <v>0</v>
      </c>
    </row>
    <row r="47" spans="1:17" s="46" customFormat="1" ht="14" customHeight="1" x14ac:dyDescent="0.15">
      <c r="A47" s="268"/>
      <c r="B47" s="42" t="s">
        <v>214</v>
      </c>
      <c r="C47" s="287">
        <f>C46</f>
        <v>0</v>
      </c>
      <c r="D47" s="287">
        <f t="shared" ref="D47:L47" si="7">D46</f>
        <v>0</v>
      </c>
      <c r="E47" s="287">
        <f t="shared" si="7"/>
        <v>0</v>
      </c>
      <c r="F47" s="287">
        <f t="shared" si="7"/>
        <v>0</v>
      </c>
      <c r="G47" s="287">
        <f t="shared" si="7"/>
        <v>0</v>
      </c>
      <c r="H47" s="287">
        <f t="shared" si="7"/>
        <v>0</v>
      </c>
      <c r="I47" s="287">
        <f t="shared" si="7"/>
        <v>3665</v>
      </c>
      <c r="J47" s="287">
        <f t="shared" si="7"/>
        <v>4313</v>
      </c>
      <c r="K47" s="287">
        <f t="shared" si="7"/>
        <v>11535</v>
      </c>
      <c r="L47" s="287">
        <f t="shared" si="7"/>
        <v>123302</v>
      </c>
      <c r="M47" s="42">
        <f t="shared" si="0"/>
        <v>15200</v>
      </c>
      <c r="N47" s="42">
        <f t="shared" si="1"/>
        <v>127615</v>
      </c>
      <c r="O47" s="45">
        <f>N47+'Pri Sec_outstanding_6'!P47</f>
        <v>3595261</v>
      </c>
      <c r="P47" s="45">
        <f>'CD Ratio_3(i)'!F47</f>
        <v>3595261</v>
      </c>
      <c r="Q47" s="46">
        <f t="shared" si="2"/>
        <v>0</v>
      </c>
    </row>
    <row r="48" spans="1:17" s="46" customFormat="1" ht="14" customHeight="1" x14ac:dyDescent="0.15">
      <c r="A48" s="105">
        <v>38</v>
      </c>
      <c r="B48" s="40" t="s">
        <v>304</v>
      </c>
      <c r="C48" s="286">
        <v>0</v>
      </c>
      <c r="D48" s="286">
        <v>0</v>
      </c>
      <c r="E48" s="286">
        <v>0</v>
      </c>
      <c r="F48" s="286">
        <v>0</v>
      </c>
      <c r="G48" s="286">
        <v>317</v>
      </c>
      <c r="H48" s="286">
        <v>5160.93</v>
      </c>
      <c r="I48" s="286">
        <v>3169</v>
      </c>
      <c r="J48" s="286">
        <v>3424.64</v>
      </c>
      <c r="K48" s="286">
        <v>38844</v>
      </c>
      <c r="L48" s="286">
        <v>95374.65</v>
      </c>
      <c r="M48" s="40">
        <f t="shared" si="0"/>
        <v>42330</v>
      </c>
      <c r="N48" s="40">
        <f t="shared" si="1"/>
        <v>103960.22</v>
      </c>
      <c r="O48" s="45">
        <f>N48+'Pri Sec_outstanding_6'!P48</f>
        <v>579166.79</v>
      </c>
      <c r="P48" s="45">
        <f>'CD Ratio_3(i)'!F48</f>
        <v>579166.81000000006</v>
      </c>
      <c r="Q48" s="45">
        <f t="shared" si="2"/>
        <v>-2.0000000018626451E-2</v>
      </c>
    </row>
    <row r="49" spans="1:17" ht="14" customHeight="1" x14ac:dyDescent="0.15">
      <c r="A49" s="105">
        <v>39</v>
      </c>
      <c r="B49" s="40" t="s">
        <v>305</v>
      </c>
      <c r="C49" s="290">
        <v>0</v>
      </c>
      <c r="D49" s="290">
        <v>0</v>
      </c>
      <c r="E49" s="290">
        <v>0</v>
      </c>
      <c r="F49" s="290">
        <v>0</v>
      </c>
      <c r="G49" s="290">
        <v>0</v>
      </c>
      <c r="H49" s="290">
        <v>0</v>
      </c>
      <c r="I49" s="290">
        <v>0</v>
      </c>
      <c r="J49" s="290">
        <v>0</v>
      </c>
      <c r="K49" s="290">
        <v>9596</v>
      </c>
      <c r="L49" s="290">
        <v>29577</v>
      </c>
      <c r="M49" s="40">
        <f t="shared" si="0"/>
        <v>9596</v>
      </c>
      <c r="N49" s="40">
        <f t="shared" si="1"/>
        <v>29577</v>
      </c>
      <c r="O49" s="45">
        <f>N49+'Pri Sec_outstanding_6'!P49</f>
        <v>57245</v>
      </c>
      <c r="P49" s="45">
        <f>'CD Ratio_3(i)'!F49</f>
        <v>57245</v>
      </c>
      <c r="Q49" s="45">
        <f t="shared" si="2"/>
        <v>0</v>
      </c>
    </row>
    <row r="50" spans="1:17" ht="14" customHeight="1" x14ac:dyDescent="0.15">
      <c r="A50" s="105">
        <v>40</v>
      </c>
      <c r="B50" s="40" t="s">
        <v>383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  <c r="H50" s="286">
        <v>0</v>
      </c>
      <c r="I50" s="286">
        <v>0</v>
      </c>
      <c r="J50" s="286">
        <v>0</v>
      </c>
      <c r="K50" s="286">
        <v>608</v>
      </c>
      <c r="L50" s="286">
        <v>732.79</v>
      </c>
      <c r="M50" s="40">
        <f t="shared" si="0"/>
        <v>608</v>
      </c>
      <c r="N50" s="40">
        <f t="shared" si="1"/>
        <v>732.79</v>
      </c>
      <c r="O50" s="45">
        <f>N50+'Pri Sec_outstanding_6'!P50</f>
        <v>42020.090000000004</v>
      </c>
      <c r="P50" s="45">
        <f>'CD Ratio_3(i)'!F50</f>
        <v>42020.09</v>
      </c>
      <c r="Q50" s="45">
        <f t="shared" si="2"/>
        <v>0</v>
      </c>
    </row>
    <row r="51" spans="1:17" s="46" customFormat="1" ht="14" customHeight="1" x14ac:dyDescent="0.15">
      <c r="A51" s="105">
        <v>41</v>
      </c>
      <c r="B51" s="40" t="s">
        <v>306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  <c r="H51" s="286">
        <v>0</v>
      </c>
      <c r="I51" s="286">
        <v>0</v>
      </c>
      <c r="J51" s="286">
        <v>0</v>
      </c>
      <c r="K51" s="286">
        <v>137</v>
      </c>
      <c r="L51" s="286">
        <v>226.3</v>
      </c>
      <c r="M51" s="40">
        <f t="shared" si="0"/>
        <v>137</v>
      </c>
      <c r="N51" s="40">
        <f t="shared" si="1"/>
        <v>226.3</v>
      </c>
      <c r="O51" s="45">
        <f>N51+'Pri Sec_outstanding_6'!P51</f>
        <v>55490.380000000005</v>
      </c>
      <c r="P51" s="45">
        <f>'CD Ratio_3(i)'!F51</f>
        <v>55490.37</v>
      </c>
      <c r="Q51" s="45">
        <f t="shared" si="2"/>
        <v>1.0000000002037268E-2</v>
      </c>
    </row>
    <row r="52" spans="1:17" ht="14" customHeight="1" x14ac:dyDescent="0.15">
      <c r="A52" s="105">
        <v>42</v>
      </c>
      <c r="B52" s="40" t="s">
        <v>307</v>
      </c>
      <c r="C52" s="290">
        <v>0</v>
      </c>
      <c r="D52" s="290">
        <v>0</v>
      </c>
      <c r="E52" s="290">
        <v>0</v>
      </c>
      <c r="F52" s="290">
        <v>0</v>
      </c>
      <c r="G52" s="290">
        <v>116</v>
      </c>
      <c r="H52" s="290">
        <v>2033</v>
      </c>
      <c r="I52" s="290">
        <v>0</v>
      </c>
      <c r="J52" s="290">
        <v>0</v>
      </c>
      <c r="K52" s="290">
        <v>9660</v>
      </c>
      <c r="L52" s="290">
        <f>10146-379</f>
        <v>9767</v>
      </c>
      <c r="M52" s="40">
        <f t="shared" si="0"/>
        <v>9776</v>
      </c>
      <c r="N52" s="40">
        <f t="shared" si="1"/>
        <v>11800</v>
      </c>
      <c r="O52" s="45">
        <f>N52+'Pri Sec_outstanding_6'!P52</f>
        <v>91029</v>
      </c>
      <c r="P52" s="45">
        <f>'CD Ratio_3(i)'!F52</f>
        <v>91029</v>
      </c>
      <c r="Q52" s="45">
        <f t="shared" si="2"/>
        <v>0</v>
      </c>
    </row>
    <row r="53" spans="1:17" ht="14" customHeight="1" x14ac:dyDescent="0.15">
      <c r="A53" s="105">
        <v>43</v>
      </c>
      <c r="B53" s="40" t="s">
        <v>308</v>
      </c>
      <c r="C53" s="286">
        <v>63</v>
      </c>
      <c r="D53" s="286">
        <v>913.98</v>
      </c>
      <c r="E53" s="286">
        <v>0</v>
      </c>
      <c r="F53" s="286">
        <v>0</v>
      </c>
      <c r="G53" s="286">
        <v>57</v>
      </c>
      <c r="H53" s="286">
        <v>1185.33</v>
      </c>
      <c r="I53" s="286">
        <v>12641</v>
      </c>
      <c r="J53" s="286">
        <v>859.44</v>
      </c>
      <c r="K53" s="286">
        <v>105</v>
      </c>
      <c r="L53" s="286">
        <v>1730.34</v>
      </c>
      <c r="M53" s="40">
        <f t="shared" si="0"/>
        <v>12866</v>
      </c>
      <c r="N53" s="40">
        <f t="shared" si="1"/>
        <v>4689.09</v>
      </c>
      <c r="O53" s="45">
        <f>N53+'Pri Sec_outstanding_6'!P53</f>
        <v>25865.84</v>
      </c>
      <c r="P53" s="45">
        <f>'CD Ratio_3(i)'!F53</f>
        <v>25865.84</v>
      </c>
      <c r="Q53" s="45">
        <f t="shared" si="2"/>
        <v>0</v>
      </c>
    </row>
    <row r="54" spans="1:17" ht="14" customHeight="1" x14ac:dyDescent="0.15">
      <c r="A54" s="105">
        <v>44</v>
      </c>
      <c r="B54" s="40" t="s">
        <v>300</v>
      </c>
      <c r="C54" s="286">
        <v>0</v>
      </c>
      <c r="D54" s="286">
        <v>0</v>
      </c>
      <c r="E54" s="286">
        <v>0</v>
      </c>
      <c r="F54" s="286">
        <v>0</v>
      </c>
      <c r="G54" s="286">
        <v>102</v>
      </c>
      <c r="H54" s="286">
        <v>402.38</v>
      </c>
      <c r="I54" s="286">
        <v>147</v>
      </c>
      <c r="J54" s="286">
        <v>206.01</v>
      </c>
      <c r="K54" s="286">
        <v>2784</v>
      </c>
      <c r="L54" s="286">
        <v>4366.45</v>
      </c>
      <c r="M54" s="40">
        <f t="shared" si="0"/>
        <v>3033</v>
      </c>
      <c r="N54" s="40">
        <f t="shared" si="1"/>
        <v>4974.84</v>
      </c>
      <c r="O54" s="45">
        <f>N54+'Pri Sec_outstanding_6'!P54</f>
        <v>20530.560000000001</v>
      </c>
      <c r="P54" s="45">
        <f>'CD Ratio_3(i)'!F54</f>
        <v>20530.560000000001</v>
      </c>
      <c r="Q54" s="45">
        <f t="shared" si="2"/>
        <v>0</v>
      </c>
    </row>
    <row r="55" spans="1:17" ht="14" customHeight="1" x14ac:dyDescent="0.15">
      <c r="A55" s="105">
        <v>45</v>
      </c>
      <c r="B55" s="40" t="s">
        <v>309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  <c r="H55" s="286">
        <v>0</v>
      </c>
      <c r="I55" s="286">
        <v>0</v>
      </c>
      <c r="J55" s="286">
        <v>0</v>
      </c>
      <c r="K55" s="286">
        <v>155</v>
      </c>
      <c r="L55" s="286">
        <v>2468</v>
      </c>
      <c r="M55" s="40">
        <f t="shared" si="0"/>
        <v>155</v>
      </c>
      <c r="N55" s="40">
        <f t="shared" si="1"/>
        <v>2468</v>
      </c>
      <c r="O55" s="45">
        <f>N55+'Pri Sec_outstanding_6'!P55</f>
        <v>30839</v>
      </c>
      <c r="P55" s="45">
        <f>'CD Ratio_3(i)'!F55</f>
        <v>30839</v>
      </c>
      <c r="Q55" s="45">
        <f t="shared" si="2"/>
        <v>0</v>
      </c>
    </row>
    <row r="56" spans="1:17" s="46" customFormat="1" ht="14" customHeight="1" x14ac:dyDescent="0.15">
      <c r="A56" s="268"/>
      <c r="B56" s="42" t="s">
        <v>310</v>
      </c>
      <c r="C56" s="287">
        <f>SUM(C48:C55)</f>
        <v>63</v>
      </c>
      <c r="D56" s="287">
        <f t="shared" ref="D56:L56" si="8">SUM(D48:D55)</f>
        <v>913.98</v>
      </c>
      <c r="E56" s="287">
        <f t="shared" si="8"/>
        <v>0</v>
      </c>
      <c r="F56" s="287">
        <f t="shared" si="8"/>
        <v>0</v>
      </c>
      <c r="G56" s="287">
        <f t="shared" si="8"/>
        <v>592</v>
      </c>
      <c r="H56" s="287">
        <f t="shared" si="8"/>
        <v>8781.64</v>
      </c>
      <c r="I56" s="287">
        <f t="shared" si="8"/>
        <v>15957</v>
      </c>
      <c r="J56" s="287">
        <f t="shared" si="8"/>
        <v>4490.09</v>
      </c>
      <c r="K56" s="287">
        <f t="shared" si="8"/>
        <v>61889</v>
      </c>
      <c r="L56" s="287">
        <f t="shared" si="8"/>
        <v>144242.53</v>
      </c>
      <c r="M56" s="42">
        <f t="shared" si="0"/>
        <v>78501</v>
      </c>
      <c r="N56" s="42">
        <f t="shared" si="1"/>
        <v>158428.24</v>
      </c>
      <c r="O56" s="45">
        <f>N56+'Pri Sec_outstanding_6'!P56</f>
        <v>902186.66</v>
      </c>
      <c r="P56" s="45">
        <f>'CD Ratio_3(i)'!F56</f>
        <v>902186.67</v>
      </c>
      <c r="Q56" s="46">
        <f t="shared" si="2"/>
        <v>-1.0000000009313226E-2</v>
      </c>
    </row>
    <row r="57" spans="1:17" s="46" customFormat="1" ht="14" customHeight="1" x14ac:dyDescent="0.15">
      <c r="A57" s="42"/>
      <c r="B57" s="42" t="s">
        <v>0</v>
      </c>
      <c r="C57" s="287">
        <f>C56+C47+C45+C42</f>
        <v>1628</v>
      </c>
      <c r="D57" s="287">
        <f t="shared" ref="D57:L57" si="9">D56+D47+D45+D42</f>
        <v>9673.83</v>
      </c>
      <c r="E57" s="287">
        <f t="shared" si="9"/>
        <v>10011</v>
      </c>
      <c r="F57" s="287">
        <f t="shared" si="9"/>
        <v>60355.23000000001</v>
      </c>
      <c r="G57" s="287">
        <f t="shared" si="9"/>
        <v>70037</v>
      </c>
      <c r="H57" s="287">
        <f t="shared" si="9"/>
        <v>1412543.9100000001</v>
      </c>
      <c r="I57" s="287">
        <f t="shared" si="9"/>
        <v>595547</v>
      </c>
      <c r="J57" s="287">
        <f t="shared" si="9"/>
        <v>1951510.8800000001</v>
      </c>
      <c r="K57" s="287">
        <f t="shared" si="9"/>
        <v>2169197</v>
      </c>
      <c r="L57" s="287">
        <f t="shared" si="9"/>
        <v>10637881.149999999</v>
      </c>
      <c r="M57" s="42">
        <f t="shared" si="0"/>
        <v>2846420</v>
      </c>
      <c r="N57" s="42">
        <f t="shared" si="1"/>
        <v>14071965</v>
      </c>
      <c r="O57" s="45">
        <f>N57+'Pri Sec_outstanding_6'!P57</f>
        <v>35546764.43</v>
      </c>
      <c r="P57" s="45">
        <f>'CD Ratio_3(i)'!F59</f>
        <v>35546764.072559997</v>
      </c>
      <c r="Q57" s="46">
        <f t="shared" si="2"/>
        <v>0.35744000226259232</v>
      </c>
    </row>
    <row r="58" spans="1:17" x14ac:dyDescent="0.2">
      <c r="H58" s="46" t="s">
        <v>1076</v>
      </c>
    </row>
    <row r="61" spans="1:17" x14ac:dyDescent="0.2">
      <c r="F61" s="46"/>
    </row>
    <row r="62" spans="1:17" x14ac:dyDescent="0.2">
      <c r="E62" s="135"/>
      <c r="F62" s="135"/>
      <c r="I62" s="44"/>
    </row>
    <row r="64" spans="1:17" x14ac:dyDescent="0.2">
      <c r="G64" s="44"/>
    </row>
    <row r="65" spans="6:8" x14ac:dyDescent="0.2">
      <c r="F65" s="44"/>
    </row>
    <row r="66" spans="6:8" x14ac:dyDescent="0.2">
      <c r="H66" s="44"/>
    </row>
    <row r="67" spans="6:8" x14ac:dyDescent="0.2">
      <c r="H67" s="44"/>
    </row>
  </sheetData>
  <mergeCells count="10">
    <mergeCell ref="A1:N1"/>
    <mergeCell ref="A2:A5"/>
    <mergeCell ref="B2:B5"/>
    <mergeCell ref="C2:N2"/>
    <mergeCell ref="C3:D4"/>
    <mergeCell ref="E3:F4"/>
    <mergeCell ref="G3:H4"/>
    <mergeCell ref="I3:J4"/>
    <mergeCell ref="K3:L4"/>
    <mergeCell ref="M3:N4"/>
  </mergeCells>
  <pageMargins left="0.95" right="0.2" top="1" bottom="0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1C91FC-83A2-4768-8982-51E97B21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Aadh_Auh_31</vt:lpstr>
      <vt:lpstr>Aadhaar Auth_31</vt:lpstr>
      <vt:lpstr>Aadh_Auh_31!Print_Area</vt:lpstr>
      <vt:lpstr>'Aadhaar Auth_31'!Print_Area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MUDRA_27!Print_Area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PMAY_29!Print_Area</vt:lpstr>
      <vt:lpstr>PMJDY_25!Print_Area</vt:lpstr>
      <vt:lpstr>'Pri Sec_outstanding_6'!Print_Area</vt:lpstr>
      <vt:lpstr>RSETIs_26!Print_Area</vt:lpstr>
      <vt:lpstr>SCST_Disb_23!Print_Area</vt:lpstr>
      <vt:lpstr>SCST_OS_22!Print_Area</vt:lpstr>
      <vt:lpstr>SHGs_19!Print_Area</vt:lpstr>
      <vt:lpstr>SUI_28_Dist.!Print_Area</vt:lpstr>
      <vt:lpstr>'Weaker Sec_7'!Print_Area</vt:lpstr>
      <vt:lpstr>Women_24!Print_Area</vt:lpstr>
      <vt:lpstr>'Branch ATM_1'!Print_Titles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2015-10-29T06:25:08Z</dcterms:created>
  <dcterms:modified xsi:type="dcterms:W3CDTF">2021-10-03T06:32:25Z</dcterms:modified>
</cp:coreProperties>
</file>