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9200" windowHeight="7530" tabRatio="850" firstSheet="1" activeTab="4"/>
  </bookViews>
  <sheets>
    <sheet name="Branch ATM_1" sheetId="3" r:id="rId1"/>
    <sheet name="CD Ratio_2" sheetId="7" r:id="rId2"/>
    <sheet name="CD Ratio_3(i)" sheetId="9" r:id="rId3"/>
    <sheet name="CD Ratio_Dist_3(ii)" sheetId="112" r:id="rId4"/>
    <sheet name="OutstandingAgri_4" sheetId="104" r:id="rId5"/>
    <sheet name="MSMEoutstanding_5" sheetId="103" r:id="rId6"/>
    <sheet name="Pri Sec_outstanding_6" sheetId="107" r:id="rId7"/>
    <sheet name="Weaker Sec_7" sheetId="106" r:id="rId8"/>
    <sheet name="NPS_OS_8" sheetId="105" r:id="rId9"/>
    <sheet name="ACP_Agri_9(i)" sheetId="73" r:id="rId10"/>
    <sheet name="ACP_Agri_9(ii)" sheetId="108" r:id="rId11"/>
    <sheet name="ACP_MSME_10" sheetId="93" r:id="rId12"/>
    <sheet name="ACP_PS_11(i)" sheetId="71" r:id="rId13"/>
    <sheet name="ACP_PS_11(ii)" sheetId="109" r:id="rId14"/>
    <sheet name="ACP_NPS_12" sheetId="110" r:id="rId15"/>
    <sheet name="NPA_13" sheetId="15" r:id="rId16"/>
    <sheet name="NPA_PS_14" sheetId="78" r:id="rId17"/>
    <sheet name="NPA_NPS_15" sheetId="85" r:id="rId18"/>
    <sheet name="NPA_Govt. Sch16" sheetId="77" r:id="rId19"/>
    <sheet name="KCC_17" sheetId="42" r:id="rId20"/>
    <sheet name="Education Loan_18" sheetId="111" r:id="rId21"/>
    <sheet name="SHGs_19" sheetId="113" r:id="rId22"/>
    <sheet name="Restructured Acs_33" sheetId="101" state="hidden" r:id="rId23"/>
    <sheet name="Minority_OS_20" sheetId="114" r:id="rId24"/>
    <sheet name="Minority_Disb_21" sheetId="115" r:id="rId25"/>
    <sheet name="SCST_OS_22" sheetId="116" r:id="rId26"/>
    <sheet name="SCST_Disb_23" sheetId="117" r:id="rId27"/>
    <sheet name="Women_24" sheetId="118" r:id="rId28"/>
    <sheet name="Brick&amp; mortar_25" sheetId="121" r:id="rId29"/>
    <sheet name="BRISC_26" sheetId="122" r:id="rId30"/>
    <sheet name="PMEGP_27" sheetId="123" r:id="rId31"/>
    <sheet name="CMRHM_28" sheetId="124" r:id="rId32"/>
    <sheet name="PMMY_29" sheetId="125" r:id="rId33"/>
    <sheet name="SUI_30" sheetId="126" r:id="rId34"/>
    <sheet name="NRLM_31" sheetId="127" r:id="rId35"/>
    <sheet name="RSETI_32" sheetId="128" r:id="rId36"/>
    <sheet name="PMJDY_33" sheetId="129" r:id="rId37"/>
    <sheet name="SSS_34" sheetId="130" r:id="rId38"/>
  </sheets>
  <definedNames>
    <definedName name="_xlnm._FilterDatabase" localSheetId="9" hidden="1">'ACP_Agri_9(i)'!$A$3:$L$64</definedName>
    <definedName name="_xlnm._FilterDatabase" localSheetId="1" hidden="1">'CD Ratio_2'!$B$4:$K$63</definedName>
    <definedName name="_xlnm._FilterDatabase" localSheetId="2" hidden="1">'CD Ratio_3(i)'!$C$5:$N$63</definedName>
    <definedName name="_xlnm._FilterDatabase" localSheetId="3" hidden="1">'CD Ratio_Dist_3(ii)'!$A$4:$F$55</definedName>
    <definedName name="_xlnm._FilterDatabase" localSheetId="20" hidden="1">'Education Loan_18'!$A$5:$T$63</definedName>
    <definedName name="_xlnm._FilterDatabase" localSheetId="18" hidden="1">'NPA_Govt. Sch16'!$A$4:$V$64</definedName>
    <definedName name="_xlnm._FilterDatabase" localSheetId="8" hidden="1">NPS_OS_8!$C$5:$Z$63</definedName>
    <definedName name="CompanyName">#REF!</definedName>
    <definedName name="CustomerLookup">'Branch ATM_1'!#REF!</definedName>
    <definedName name="Invoice_No">#REF!</definedName>
    <definedName name="InvoiceNoDetails">"InvoiceDetails[Invoice No]"</definedName>
    <definedName name="_xlnm.Print_Area" localSheetId="9">'ACP_Agri_9(i)'!$A$1:$L$64</definedName>
    <definedName name="_xlnm.Print_Area" localSheetId="10">'ACP_Agri_9(ii)'!$A$1:$Q$63</definedName>
    <definedName name="_xlnm.Print_Area" localSheetId="11">ACP_MSME_10!$A$1:$Q$66</definedName>
    <definedName name="_xlnm.Print_Area" localSheetId="14">ACP_NPS_12!$A$1:$Y$64</definedName>
    <definedName name="_xlnm.Print_Area" localSheetId="12">'ACP_PS_11(i)'!$A$1:$Q$70</definedName>
    <definedName name="_xlnm.Print_Area" localSheetId="13">'ACP_PS_11(ii)'!$A$1:$S$64</definedName>
    <definedName name="_xlnm.Print_Area" localSheetId="0">'Branch ATM_1'!$A$1:$G$61</definedName>
    <definedName name="_xlnm.Print_Area" localSheetId="28">'Brick&amp; mortar_25'!$A$1:$F$74</definedName>
    <definedName name="_xlnm.Print_Area" localSheetId="29">BRISC_26!$A$1:$R$62</definedName>
    <definedName name="_xlnm.Print_Area" localSheetId="1">'CD Ratio_2'!$A$1:$K$64</definedName>
    <definedName name="_xlnm.Print_Area" localSheetId="2">'CD Ratio_3(i)'!$A$1:$H$66</definedName>
    <definedName name="_xlnm.Print_Area" localSheetId="3">'CD Ratio_Dist_3(ii)'!$A$1:$H$55</definedName>
    <definedName name="_xlnm.Print_Area" localSheetId="31">CMRHM_28!$A$1:$E$26</definedName>
    <definedName name="_xlnm.Print_Area" localSheetId="20">'Education Loan_18'!$A$1:$R$65</definedName>
    <definedName name="_xlnm.Print_Area" localSheetId="19">KCC_17!$A$1:$F$64</definedName>
    <definedName name="_xlnm.Print_Area" localSheetId="24">Minority_Disb_21!$A$1:$P$64</definedName>
    <definedName name="_xlnm.Print_Area" localSheetId="23">Minority_OS_20!$A$1:$P$65</definedName>
    <definedName name="_xlnm.Print_Area" localSheetId="5">MSMEoutstanding_5!$A$1:$N$79</definedName>
    <definedName name="_xlnm.Print_Area" localSheetId="15">NPA_13!$A$1:$I$65</definedName>
    <definedName name="_xlnm.Print_Area" localSheetId="18">'NPA_Govt. Sch16'!$A$1:$V$64</definedName>
    <definedName name="_xlnm.Print_Area" localSheetId="17">NPA_NPS_15!$A$1:$L$64</definedName>
    <definedName name="_xlnm.Print_Area" localSheetId="16">NPA_PS_14!$A$1:$O$64</definedName>
    <definedName name="_xlnm.Print_Area" localSheetId="8">NPS_OS_8!$A$1:$V$63</definedName>
    <definedName name="_xlnm.Print_Area" localSheetId="34">NRLM_31!$A$1:$K$56</definedName>
    <definedName name="_xlnm.Print_Area" localSheetId="4">OutstandingAgri_4!$A$1:$M$63</definedName>
    <definedName name="_xlnm.Print_Area" localSheetId="36">PMJDY_33!$A$1:$O$63</definedName>
    <definedName name="_xlnm.Print_Area" localSheetId="32">PMMY_29!$A$1:$N$65</definedName>
    <definedName name="_xlnm.Print_Area" localSheetId="6">'Pri Sec_outstanding_6'!$A$1:$Q$63</definedName>
    <definedName name="_xlnm.Print_Area" localSheetId="35">RSETI_32!$A$1:$R$58</definedName>
    <definedName name="_xlnm.Print_Area" localSheetId="26">SCST_Disb_23!$A$1:$F$65</definedName>
    <definedName name="_xlnm.Print_Area" localSheetId="25">SCST_OS_22!$A$1:$F$64</definedName>
    <definedName name="_xlnm.Print_Area" localSheetId="21">SHGs_19!$A$1:$J$64</definedName>
    <definedName name="_xlnm.Print_Area" localSheetId="33">SUI_30!$A$1:$V$40</definedName>
    <definedName name="_xlnm.Print_Area" localSheetId="7">'Weaker Sec_7'!$A$1:$S$63</definedName>
    <definedName name="_xlnm.Print_Area" localSheetId="27">Women_24!$A$1:$H$64</definedName>
    <definedName name="_xlnm.Print_Titles" localSheetId="0">'Branch ATM_1'!$3:$3</definedName>
    <definedName name="rngInvoice">#REF!</definedName>
  </definedNames>
  <calcPr calcId="152511"/>
</workbook>
</file>

<file path=xl/calcChain.xml><?xml version="1.0" encoding="utf-8"?>
<calcChain xmlns="http://schemas.openxmlformats.org/spreadsheetml/2006/main">
  <c r="J56" i="127" l="1"/>
  <c r="I56" i="127"/>
  <c r="H56" i="127"/>
  <c r="G56" i="127"/>
  <c r="F56" i="127"/>
  <c r="E56" i="127"/>
  <c r="D56" i="127"/>
  <c r="C56" i="127"/>
  <c r="K34" i="127"/>
  <c r="K12" i="127"/>
  <c r="K24" i="127"/>
  <c r="K8" i="127"/>
  <c r="K11" i="127"/>
  <c r="K14" i="127"/>
  <c r="K18" i="127"/>
  <c r="K47" i="127"/>
  <c r="K54" i="127"/>
  <c r="K31" i="127"/>
  <c r="K9" i="127"/>
  <c r="K27" i="127"/>
  <c r="K36" i="127"/>
  <c r="K45" i="127"/>
  <c r="K22" i="127"/>
  <c r="K35" i="127"/>
  <c r="K53" i="127"/>
  <c r="K16" i="127"/>
  <c r="K55" i="127"/>
  <c r="K23" i="127"/>
  <c r="K21" i="127"/>
  <c r="K37" i="127"/>
  <c r="K40" i="127"/>
  <c r="K42" i="127"/>
  <c r="K33" i="127"/>
  <c r="K15" i="127"/>
  <c r="K50" i="127"/>
  <c r="K48" i="127"/>
  <c r="K46" i="127"/>
  <c r="K38" i="127"/>
  <c r="K41" i="127"/>
  <c r="K30" i="127"/>
  <c r="K52" i="127"/>
  <c r="K7" i="127"/>
  <c r="K5" i="127"/>
  <c r="K49" i="127"/>
  <c r="K26" i="127"/>
  <c r="K39" i="127"/>
  <c r="K32" i="127"/>
  <c r="K17" i="127"/>
  <c r="K10" i="127"/>
  <c r="K6" i="127"/>
  <c r="K25" i="127"/>
  <c r="K20" i="127"/>
  <c r="K28" i="127"/>
  <c r="K43" i="127"/>
  <c r="K51" i="127"/>
  <c r="K44" i="127"/>
  <c r="K19" i="127"/>
  <c r="K29" i="127"/>
  <c r="K13" i="127"/>
  <c r="K56" i="127" l="1"/>
  <c r="G46" i="112" l="1"/>
  <c r="H46" i="112" s="1"/>
  <c r="Q64" i="78" l="1"/>
  <c r="Q65" i="78"/>
  <c r="E7" i="104" l="1"/>
  <c r="E33" i="104" s="1"/>
  <c r="F7" i="104"/>
  <c r="E8" i="104"/>
  <c r="F8" i="104"/>
  <c r="E9" i="104"/>
  <c r="F9" i="104"/>
  <c r="E10" i="104"/>
  <c r="F10" i="104"/>
  <c r="E11" i="104"/>
  <c r="F11" i="104"/>
  <c r="E12" i="104"/>
  <c r="F12" i="104"/>
  <c r="E13" i="104"/>
  <c r="F13" i="104"/>
  <c r="E14" i="104"/>
  <c r="F14" i="104"/>
  <c r="E15" i="104"/>
  <c r="F15" i="104"/>
  <c r="E16" i="104"/>
  <c r="F16" i="104"/>
  <c r="E17" i="104"/>
  <c r="F17" i="104"/>
  <c r="E18" i="104"/>
  <c r="F18" i="104"/>
  <c r="E19" i="104"/>
  <c r="F19" i="104"/>
  <c r="E20" i="104"/>
  <c r="F20" i="104"/>
  <c r="E21" i="104"/>
  <c r="F21" i="104"/>
  <c r="E22" i="104"/>
  <c r="F22" i="104"/>
  <c r="E23" i="104"/>
  <c r="F23" i="104"/>
  <c r="E24" i="104"/>
  <c r="F24" i="104"/>
  <c r="E25" i="104"/>
  <c r="F25" i="104"/>
  <c r="E26" i="104"/>
  <c r="F26" i="104"/>
  <c r="E27" i="104"/>
  <c r="F27" i="104"/>
  <c r="E28" i="104"/>
  <c r="F28" i="104"/>
  <c r="E29" i="104"/>
  <c r="F29" i="104"/>
  <c r="E30" i="104"/>
  <c r="F30" i="104"/>
  <c r="E31" i="104"/>
  <c r="F31" i="104"/>
  <c r="E32" i="104"/>
  <c r="F32" i="104"/>
  <c r="E34" i="104"/>
  <c r="E56" i="104" s="1"/>
  <c r="F34" i="104"/>
  <c r="E35" i="104"/>
  <c r="F35" i="104"/>
  <c r="F56" i="104" s="1"/>
  <c r="E36" i="104"/>
  <c r="F36" i="104"/>
  <c r="E37" i="104"/>
  <c r="F37" i="104"/>
  <c r="E38" i="104"/>
  <c r="F38" i="104"/>
  <c r="E39" i="104"/>
  <c r="F39" i="104"/>
  <c r="E40" i="104"/>
  <c r="F40" i="104"/>
  <c r="E41" i="104"/>
  <c r="F41" i="104"/>
  <c r="E42" i="104"/>
  <c r="F42" i="104"/>
  <c r="E43" i="104"/>
  <c r="F43" i="104"/>
  <c r="E44" i="104"/>
  <c r="F44" i="104"/>
  <c r="E45" i="104"/>
  <c r="F45" i="104"/>
  <c r="E46" i="104"/>
  <c r="F46" i="104"/>
  <c r="E47" i="104"/>
  <c r="F47" i="104"/>
  <c r="E48" i="104"/>
  <c r="F48" i="104"/>
  <c r="E49" i="104"/>
  <c r="F49" i="104"/>
  <c r="E50" i="104"/>
  <c r="F50" i="104"/>
  <c r="E51" i="104"/>
  <c r="F51" i="104"/>
  <c r="E52" i="104"/>
  <c r="F52" i="104"/>
  <c r="E53" i="104"/>
  <c r="F53" i="104"/>
  <c r="E54" i="104"/>
  <c r="F54" i="104"/>
  <c r="E55" i="104"/>
  <c r="F55" i="104"/>
  <c r="E57" i="104"/>
  <c r="E60" i="104" s="1"/>
  <c r="F57" i="104"/>
  <c r="E58" i="104"/>
  <c r="F58" i="104"/>
  <c r="E59" i="104"/>
  <c r="F59" i="104"/>
  <c r="E61" i="104"/>
  <c r="E62" i="104" s="1"/>
  <c r="E63" i="104" s="1"/>
  <c r="F62" i="104"/>
  <c r="F6" i="104"/>
  <c r="E6" i="104"/>
  <c r="F33" i="104" l="1"/>
  <c r="F60" i="104"/>
  <c r="F63" i="104" l="1"/>
  <c r="E63" i="130" l="1"/>
  <c r="D63" i="130"/>
  <c r="C63" i="130"/>
  <c r="F62" i="130"/>
  <c r="F61" i="130"/>
  <c r="F60" i="130"/>
  <c r="F59" i="130"/>
  <c r="E58" i="130"/>
  <c r="D58" i="130"/>
  <c r="C58" i="130"/>
  <c r="F57" i="130"/>
  <c r="F56" i="130"/>
  <c r="F55" i="130"/>
  <c r="E54" i="130"/>
  <c r="D54" i="130"/>
  <c r="C54" i="130"/>
  <c r="F53" i="130"/>
  <c r="F52" i="130"/>
  <c r="F51" i="130"/>
  <c r="F50" i="130"/>
  <c r="F49" i="130"/>
  <c r="F48" i="130"/>
  <c r="F47" i="130"/>
  <c r="F46" i="130"/>
  <c r="F45" i="130"/>
  <c r="F44" i="130"/>
  <c r="F43" i="130"/>
  <c r="F42" i="130"/>
  <c r="F41" i="130"/>
  <c r="F40" i="130"/>
  <c r="F39" i="130"/>
  <c r="F38" i="130"/>
  <c r="F37" i="130"/>
  <c r="F36" i="130"/>
  <c r="F35" i="130"/>
  <c r="F34" i="130"/>
  <c r="F33" i="130"/>
  <c r="F32" i="130"/>
  <c r="E31" i="130"/>
  <c r="D31" i="130"/>
  <c r="C31" i="130"/>
  <c r="F30" i="130"/>
  <c r="F29" i="130"/>
  <c r="F28" i="130"/>
  <c r="F27" i="130"/>
  <c r="F26" i="130"/>
  <c r="F25" i="130"/>
  <c r="F24" i="130"/>
  <c r="F23" i="130"/>
  <c r="F22" i="130"/>
  <c r="F21" i="130"/>
  <c r="F20" i="130"/>
  <c r="F19" i="130"/>
  <c r="F18" i="130"/>
  <c r="F17" i="130"/>
  <c r="F16" i="130"/>
  <c r="F15" i="130"/>
  <c r="F14" i="130"/>
  <c r="F13" i="130"/>
  <c r="F12" i="130"/>
  <c r="F11" i="130"/>
  <c r="F10" i="130"/>
  <c r="F9" i="130"/>
  <c r="F8" i="130"/>
  <c r="F7" i="130"/>
  <c r="F6" i="130"/>
  <c r="F5" i="130"/>
  <c r="F4" i="130"/>
  <c r="F31" i="130" l="1"/>
  <c r="C64" i="130"/>
  <c r="F54" i="130"/>
  <c r="F63" i="130"/>
  <c r="D64" i="130"/>
  <c r="F58" i="130"/>
  <c r="E64" i="130"/>
  <c r="F64" i="130"/>
  <c r="T27" i="105" l="1"/>
  <c r="V43" i="77" l="1"/>
  <c r="G43" i="77"/>
  <c r="G34" i="77"/>
  <c r="V10" i="77" l="1"/>
  <c r="Q10" i="77"/>
  <c r="L10" i="77"/>
  <c r="G10" i="77"/>
  <c r="D61" i="104" l="1"/>
  <c r="Q61" i="77"/>
  <c r="V19" i="77" l="1"/>
  <c r="V20" i="77"/>
  <c r="V21" i="77"/>
  <c r="Q19" i="77"/>
  <c r="Q21" i="77"/>
  <c r="L19" i="77"/>
  <c r="L20" i="77"/>
  <c r="L21" i="77"/>
  <c r="G19" i="77"/>
  <c r="G20" i="77"/>
  <c r="G21" i="77"/>
  <c r="D21" i="124" l="1"/>
  <c r="E20" i="124"/>
  <c r="C21" i="124"/>
  <c r="R38" i="126" l="1"/>
  <c r="Q38" i="126"/>
  <c r="P38" i="126"/>
  <c r="O38" i="126"/>
  <c r="N38" i="126"/>
  <c r="M38" i="126"/>
  <c r="L38" i="126"/>
  <c r="K38" i="126"/>
  <c r="J38" i="126"/>
  <c r="I38" i="126"/>
  <c r="H38" i="126"/>
  <c r="G38" i="126"/>
  <c r="F38" i="126"/>
  <c r="E38" i="126"/>
  <c r="D38" i="126"/>
  <c r="C38" i="126"/>
  <c r="T37" i="126"/>
  <c r="V37" i="126" s="1"/>
  <c r="S37" i="126"/>
  <c r="U37" i="126" s="1"/>
  <c r="T36" i="126"/>
  <c r="V36" i="126" s="1"/>
  <c r="S36" i="126"/>
  <c r="U36" i="126" s="1"/>
  <c r="T35" i="126"/>
  <c r="S35" i="126"/>
  <c r="R34" i="126"/>
  <c r="Q34" i="126"/>
  <c r="P34" i="126"/>
  <c r="O34" i="126"/>
  <c r="N34" i="126"/>
  <c r="M34" i="126"/>
  <c r="L34" i="126"/>
  <c r="K34" i="126"/>
  <c r="J34" i="126"/>
  <c r="I34" i="126"/>
  <c r="H34" i="126"/>
  <c r="G34" i="126"/>
  <c r="F34" i="126"/>
  <c r="E34" i="126"/>
  <c r="D34" i="126"/>
  <c r="C34" i="126"/>
  <c r="T32" i="126"/>
  <c r="V32" i="126" s="1"/>
  <c r="S32" i="126"/>
  <c r="U32" i="126" s="1"/>
  <c r="T31" i="126"/>
  <c r="S31" i="126"/>
  <c r="R30" i="126"/>
  <c r="Q30" i="126"/>
  <c r="P30" i="126"/>
  <c r="O30" i="126"/>
  <c r="N30" i="126"/>
  <c r="M30" i="126"/>
  <c r="L30" i="126"/>
  <c r="K30" i="126"/>
  <c r="J30" i="126"/>
  <c r="I30" i="126"/>
  <c r="H30" i="126"/>
  <c r="G30" i="126"/>
  <c r="F30" i="126"/>
  <c r="E30" i="126"/>
  <c r="D30" i="126"/>
  <c r="C30" i="126"/>
  <c r="T29" i="126"/>
  <c r="V29" i="126" s="1"/>
  <c r="S29" i="126"/>
  <c r="U29" i="126" s="1"/>
  <c r="T28" i="126"/>
  <c r="V28" i="126" s="1"/>
  <c r="S28" i="126"/>
  <c r="U28" i="126" s="1"/>
  <c r="T27" i="126"/>
  <c r="V27" i="126" s="1"/>
  <c r="S27" i="126"/>
  <c r="U27" i="126" s="1"/>
  <c r="T26" i="126"/>
  <c r="V26" i="126" s="1"/>
  <c r="S26" i="126"/>
  <c r="U26" i="126" s="1"/>
  <c r="T25" i="126"/>
  <c r="V25" i="126" s="1"/>
  <c r="S25" i="126"/>
  <c r="U25" i="126" s="1"/>
  <c r="T24" i="126"/>
  <c r="V24" i="126" s="1"/>
  <c r="S24" i="126"/>
  <c r="U24" i="126" s="1"/>
  <c r="T23" i="126"/>
  <c r="V23" i="126" s="1"/>
  <c r="S23" i="126"/>
  <c r="U23" i="126" s="1"/>
  <c r="T22" i="126"/>
  <c r="V22" i="126" s="1"/>
  <c r="S22" i="126"/>
  <c r="U22" i="126" s="1"/>
  <c r="T21" i="126"/>
  <c r="V21" i="126" s="1"/>
  <c r="S21" i="126"/>
  <c r="U21" i="126" s="1"/>
  <c r="T20" i="126"/>
  <c r="V20" i="126" s="1"/>
  <c r="S20" i="126"/>
  <c r="U20" i="126" s="1"/>
  <c r="T19" i="126"/>
  <c r="V19" i="126" s="1"/>
  <c r="S19" i="126"/>
  <c r="U19" i="126" s="1"/>
  <c r="T18" i="126"/>
  <c r="V18" i="126" s="1"/>
  <c r="S18" i="126"/>
  <c r="U18" i="126" s="1"/>
  <c r="T17" i="126"/>
  <c r="V17" i="126" s="1"/>
  <c r="S17" i="126"/>
  <c r="U17" i="126" s="1"/>
  <c r="T16" i="126"/>
  <c r="V16" i="126" s="1"/>
  <c r="S16" i="126"/>
  <c r="U16" i="126" s="1"/>
  <c r="T15" i="126"/>
  <c r="V15" i="126" s="1"/>
  <c r="S15" i="126"/>
  <c r="U15" i="126" s="1"/>
  <c r="T14" i="126"/>
  <c r="V14" i="126" s="1"/>
  <c r="S14" i="126"/>
  <c r="U14" i="126" s="1"/>
  <c r="T13" i="126"/>
  <c r="V13" i="126" s="1"/>
  <c r="S13" i="126"/>
  <c r="U13" i="126" s="1"/>
  <c r="T12" i="126"/>
  <c r="V12" i="126" s="1"/>
  <c r="S12" i="126"/>
  <c r="U12" i="126" s="1"/>
  <c r="T11" i="126"/>
  <c r="V11" i="126" s="1"/>
  <c r="S11" i="126"/>
  <c r="U11" i="126" s="1"/>
  <c r="T10" i="126"/>
  <c r="V10" i="126" s="1"/>
  <c r="S10" i="126"/>
  <c r="U10" i="126" s="1"/>
  <c r="T9" i="126"/>
  <c r="V9" i="126" s="1"/>
  <c r="S9" i="126"/>
  <c r="U9" i="126" s="1"/>
  <c r="T8" i="126"/>
  <c r="V8" i="126" s="1"/>
  <c r="S8" i="126"/>
  <c r="U8" i="126" s="1"/>
  <c r="T7" i="126"/>
  <c r="T30" i="126" s="1"/>
  <c r="S7" i="126"/>
  <c r="S30" i="126" s="1"/>
  <c r="S34" i="126" l="1"/>
  <c r="S38" i="126"/>
  <c r="T34" i="126"/>
  <c r="T38" i="126"/>
  <c r="G39" i="126"/>
  <c r="K39" i="126"/>
  <c r="D39" i="126"/>
  <c r="H39" i="126"/>
  <c r="L39" i="126"/>
  <c r="P39" i="126"/>
  <c r="U7" i="126"/>
  <c r="U30" i="126" s="1"/>
  <c r="U31" i="126"/>
  <c r="U34" i="126" s="1"/>
  <c r="U39" i="126" s="1"/>
  <c r="U35" i="126"/>
  <c r="U38" i="126" s="1"/>
  <c r="E39" i="126"/>
  <c r="I39" i="126"/>
  <c r="M39" i="126"/>
  <c r="Q39" i="126"/>
  <c r="C39" i="126"/>
  <c r="O39" i="126"/>
  <c r="V7" i="126"/>
  <c r="V30" i="126" s="1"/>
  <c r="V31" i="126"/>
  <c r="V34" i="126" s="1"/>
  <c r="V35" i="126"/>
  <c r="V38" i="126" s="1"/>
  <c r="F39" i="126"/>
  <c r="J39" i="126"/>
  <c r="N39" i="126"/>
  <c r="R39" i="126"/>
  <c r="S39" i="126"/>
  <c r="T39" i="126"/>
  <c r="E71" i="121"/>
  <c r="V39" i="126" l="1"/>
  <c r="F59" i="106"/>
  <c r="F61" i="106"/>
  <c r="F8" i="106"/>
  <c r="F9" i="106"/>
  <c r="F10" i="106"/>
  <c r="F11" i="106"/>
  <c r="F12" i="106"/>
  <c r="F13" i="106"/>
  <c r="F14" i="106"/>
  <c r="F15" i="106"/>
  <c r="F16" i="106"/>
  <c r="F17" i="106"/>
  <c r="F18" i="106"/>
  <c r="F19" i="106"/>
  <c r="F20" i="106"/>
  <c r="F21" i="106"/>
  <c r="F22" i="106"/>
  <c r="F23" i="106"/>
  <c r="F24" i="106"/>
  <c r="F25" i="106"/>
  <c r="F26" i="106"/>
  <c r="F27" i="106"/>
  <c r="F28" i="106"/>
  <c r="F29" i="106"/>
  <c r="F30" i="106"/>
  <c r="F31" i="106"/>
  <c r="F32" i="106"/>
  <c r="F34" i="106"/>
  <c r="F35" i="106"/>
  <c r="F36" i="106"/>
  <c r="F37" i="106"/>
  <c r="F38" i="106"/>
  <c r="F39" i="106"/>
  <c r="F40" i="106"/>
  <c r="F41" i="106"/>
  <c r="F42" i="106"/>
  <c r="F43" i="106"/>
  <c r="F44" i="106"/>
  <c r="F45" i="106"/>
  <c r="F46" i="106"/>
  <c r="F47" i="106"/>
  <c r="F48" i="106"/>
  <c r="F49" i="106"/>
  <c r="F50" i="106"/>
  <c r="F51" i="106"/>
  <c r="F52" i="106"/>
  <c r="F53" i="106"/>
  <c r="F54" i="106"/>
  <c r="F55" i="106"/>
  <c r="F57" i="106"/>
  <c r="F58" i="106"/>
  <c r="F7" i="106"/>
  <c r="F6" i="106"/>
  <c r="E59" i="106"/>
  <c r="E61" i="106"/>
  <c r="E7" i="106"/>
  <c r="E8" i="106"/>
  <c r="E9" i="106"/>
  <c r="E10" i="106"/>
  <c r="E11" i="106"/>
  <c r="E12" i="106"/>
  <c r="E13" i="106"/>
  <c r="E14" i="106"/>
  <c r="E15" i="106"/>
  <c r="E16" i="106"/>
  <c r="E17" i="106"/>
  <c r="E18" i="106"/>
  <c r="E19" i="106"/>
  <c r="E20" i="106"/>
  <c r="E21" i="106"/>
  <c r="E22" i="106"/>
  <c r="E23" i="106"/>
  <c r="E24" i="106"/>
  <c r="E25" i="106"/>
  <c r="E26" i="106"/>
  <c r="E27" i="106"/>
  <c r="E28" i="106"/>
  <c r="E29" i="106"/>
  <c r="E30" i="106"/>
  <c r="E31" i="106"/>
  <c r="E32" i="106"/>
  <c r="E34" i="106"/>
  <c r="E35" i="106"/>
  <c r="E36" i="106"/>
  <c r="E37" i="106"/>
  <c r="E38" i="106"/>
  <c r="E39" i="106"/>
  <c r="E40" i="106"/>
  <c r="E41" i="106"/>
  <c r="E42" i="106"/>
  <c r="E43" i="106"/>
  <c r="E44" i="106"/>
  <c r="E45" i="106"/>
  <c r="E46" i="106"/>
  <c r="E47" i="106"/>
  <c r="E48" i="106"/>
  <c r="E49" i="106"/>
  <c r="E50" i="106"/>
  <c r="E51" i="106"/>
  <c r="E52" i="106"/>
  <c r="E53" i="106"/>
  <c r="E54" i="106"/>
  <c r="E55" i="106"/>
  <c r="E57" i="106"/>
  <c r="E58" i="106"/>
  <c r="E6" i="106"/>
  <c r="D62" i="117"/>
  <c r="E62" i="117"/>
  <c r="F62" i="117"/>
  <c r="C62" i="117"/>
  <c r="K62" i="125" l="1"/>
  <c r="J62" i="125"/>
  <c r="I62" i="125"/>
  <c r="H62" i="125"/>
  <c r="H63" i="125" s="1"/>
  <c r="G62" i="125"/>
  <c r="F62" i="125"/>
  <c r="D62" i="125"/>
  <c r="C62" i="125"/>
  <c r="B62" i="125"/>
  <c r="M61" i="125"/>
  <c r="N61" i="125" s="1"/>
  <c r="L61" i="125"/>
  <c r="E61" i="125"/>
  <c r="M60" i="125"/>
  <c r="N60" i="125" s="1"/>
  <c r="L60" i="125"/>
  <c r="E60" i="125"/>
  <c r="M59" i="125"/>
  <c r="M62" i="125" s="1"/>
  <c r="L59" i="125"/>
  <c r="E59" i="125"/>
  <c r="K57" i="125"/>
  <c r="J57" i="125"/>
  <c r="I57" i="125"/>
  <c r="H57" i="125"/>
  <c r="G57" i="125"/>
  <c r="F57" i="125"/>
  <c r="E57" i="125" s="1"/>
  <c r="M56" i="125"/>
  <c r="M57" i="125" s="1"/>
  <c r="L56" i="125"/>
  <c r="L57" i="125" s="1"/>
  <c r="E56" i="125"/>
  <c r="M55" i="125"/>
  <c r="L55" i="125"/>
  <c r="E55" i="125"/>
  <c r="K54" i="125"/>
  <c r="J54" i="125"/>
  <c r="I54" i="125"/>
  <c r="H54" i="125"/>
  <c r="G54" i="125"/>
  <c r="F54" i="125"/>
  <c r="D54" i="125"/>
  <c r="C54" i="125"/>
  <c r="M53" i="125"/>
  <c r="L53" i="125"/>
  <c r="E53" i="125"/>
  <c r="M52" i="125"/>
  <c r="L52" i="125"/>
  <c r="E52" i="125"/>
  <c r="M51" i="125"/>
  <c r="L51" i="125"/>
  <c r="E51" i="125"/>
  <c r="M50" i="125"/>
  <c r="L50" i="125"/>
  <c r="E50" i="125"/>
  <c r="M49" i="125"/>
  <c r="L49" i="125"/>
  <c r="E49" i="125"/>
  <c r="M48" i="125"/>
  <c r="L48" i="125"/>
  <c r="E48" i="125"/>
  <c r="M47" i="125"/>
  <c r="L47" i="125"/>
  <c r="E47" i="125"/>
  <c r="M46" i="125"/>
  <c r="L46" i="125"/>
  <c r="E46" i="125"/>
  <c r="M45" i="125"/>
  <c r="L45" i="125"/>
  <c r="E45" i="125"/>
  <c r="M44" i="125"/>
  <c r="L44" i="125"/>
  <c r="E44" i="125"/>
  <c r="M43" i="125"/>
  <c r="L43" i="125"/>
  <c r="E43" i="125"/>
  <c r="M42" i="125"/>
  <c r="L42" i="125"/>
  <c r="E42" i="125"/>
  <c r="M41" i="125"/>
  <c r="L41" i="125"/>
  <c r="E41" i="125"/>
  <c r="M40" i="125"/>
  <c r="L40" i="125"/>
  <c r="E40" i="125"/>
  <c r="E54" i="125" s="1"/>
  <c r="M39" i="125"/>
  <c r="L39" i="125"/>
  <c r="E39" i="125"/>
  <c r="M38" i="125"/>
  <c r="M54" i="125" s="1"/>
  <c r="L38" i="125"/>
  <c r="E38" i="125"/>
  <c r="K36" i="125"/>
  <c r="J36" i="125"/>
  <c r="I36" i="125"/>
  <c r="H36" i="125"/>
  <c r="G36" i="125"/>
  <c r="F36" i="125"/>
  <c r="E36" i="125"/>
  <c r="D36" i="125"/>
  <c r="C36" i="125"/>
  <c r="B36" i="125"/>
  <c r="M35" i="125"/>
  <c r="N35" i="125" s="1"/>
  <c r="L35" i="125"/>
  <c r="E35" i="125"/>
  <c r="M34" i="125"/>
  <c r="N34" i="125" s="1"/>
  <c r="L34" i="125"/>
  <c r="E34" i="125"/>
  <c r="M33" i="125"/>
  <c r="N33" i="125" s="1"/>
  <c r="L33" i="125"/>
  <c r="E33" i="125"/>
  <c r="M32" i="125"/>
  <c r="N32" i="125" s="1"/>
  <c r="L32" i="125"/>
  <c r="E32" i="125"/>
  <c r="M31" i="125"/>
  <c r="N31" i="125" s="1"/>
  <c r="L31" i="125"/>
  <c r="E31" i="125"/>
  <c r="M30" i="125"/>
  <c r="N30" i="125" s="1"/>
  <c r="L30" i="125"/>
  <c r="E30" i="125"/>
  <c r="M29" i="125"/>
  <c r="N29" i="125" s="1"/>
  <c r="L29" i="125"/>
  <c r="E29" i="125"/>
  <c r="M28" i="125"/>
  <c r="N28" i="125" s="1"/>
  <c r="L28" i="125"/>
  <c r="E28" i="125"/>
  <c r="M27" i="125"/>
  <c r="N27" i="125" s="1"/>
  <c r="L27" i="125"/>
  <c r="E27" i="125"/>
  <c r="M26" i="125"/>
  <c r="N26" i="125" s="1"/>
  <c r="L26" i="125"/>
  <c r="E26" i="125"/>
  <c r="M25" i="125"/>
  <c r="N25" i="125" s="1"/>
  <c r="L25" i="125"/>
  <c r="E25" i="125"/>
  <c r="M24" i="125"/>
  <c r="N24" i="125" s="1"/>
  <c r="L24" i="125"/>
  <c r="E24" i="125"/>
  <c r="M23" i="125"/>
  <c r="N23" i="125" s="1"/>
  <c r="L23" i="125"/>
  <c r="E23" i="125"/>
  <c r="M22" i="125"/>
  <c r="N22" i="125" s="1"/>
  <c r="L22" i="125"/>
  <c r="E22" i="125"/>
  <c r="M21" i="125"/>
  <c r="N21" i="125" s="1"/>
  <c r="L21" i="125"/>
  <c r="E21" i="125"/>
  <c r="M20" i="125"/>
  <c r="N20" i="125" s="1"/>
  <c r="L20" i="125"/>
  <c r="E20" i="125"/>
  <c r="M19" i="125"/>
  <c r="N19" i="125" s="1"/>
  <c r="L19" i="125"/>
  <c r="E19" i="125"/>
  <c r="M18" i="125"/>
  <c r="N18" i="125" s="1"/>
  <c r="L18" i="125"/>
  <c r="E18" i="125"/>
  <c r="M17" i="125"/>
  <c r="N17" i="125" s="1"/>
  <c r="L17" i="125"/>
  <c r="E17" i="125"/>
  <c r="M16" i="125"/>
  <c r="N16" i="125" s="1"/>
  <c r="L16" i="125"/>
  <c r="E16" i="125"/>
  <c r="M15" i="125"/>
  <c r="N15" i="125" s="1"/>
  <c r="L15" i="125"/>
  <c r="L36" i="125" s="1"/>
  <c r="E15" i="125"/>
  <c r="K13" i="125"/>
  <c r="J13" i="125"/>
  <c r="I13" i="125"/>
  <c r="H13" i="125"/>
  <c r="G13" i="125"/>
  <c r="F13" i="125"/>
  <c r="D13" i="125"/>
  <c r="C13" i="125"/>
  <c r="B13" i="125"/>
  <c r="M12" i="125"/>
  <c r="N12" i="125" s="1"/>
  <c r="L12" i="125"/>
  <c r="E12" i="125"/>
  <c r="M11" i="125"/>
  <c r="N11" i="125" s="1"/>
  <c r="L11" i="125"/>
  <c r="E11" i="125"/>
  <c r="M10" i="125"/>
  <c r="N10" i="125" s="1"/>
  <c r="L10" i="125"/>
  <c r="E10" i="125"/>
  <c r="M9" i="125"/>
  <c r="N9" i="125" s="1"/>
  <c r="L9" i="125"/>
  <c r="E9" i="125"/>
  <c r="M8" i="125"/>
  <c r="N8" i="125" s="1"/>
  <c r="L8" i="125"/>
  <c r="E8" i="125"/>
  <c r="M7" i="125"/>
  <c r="L7" i="125"/>
  <c r="E7" i="125"/>
  <c r="E13" i="125" s="1"/>
  <c r="C63" i="125" l="1"/>
  <c r="L13" i="125"/>
  <c r="M36" i="125"/>
  <c r="N36" i="125" s="1"/>
  <c r="D63" i="125"/>
  <c r="M13" i="125"/>
  <c r="N13" i="125" s="1"/>
  <c r="E62" i="125"/>
  <c r="E63" i="125" s="1"/>
  <c r="F63" i="125"/>
  <c r="J63" i="125"/>
  <c r="L54" i="125"/>
  <c r="I63" i="125"/>
  <c r="L62" i="125"/>
  <c r="L63" i="125" s="1"/>
  <c r="L66" i="125" s="1"/>
  <c r="B63" i="125"/>
  <c r="G63" i="125"/>
  <c r="K63" i="125"/>
  <c r="M63" i="125"/>
  <c r="N62" i="125"/>
  <c r="N7" i="125"/>
  <c r="N59" i="125"/>
  <c r="N63" i="125" l="1"/>
  <c r="D56" i="128"/>
  <c r="C56" i="128"/>
  <c r="M7" i="129"/>
  <c r="M8" i="129"/>
  <c r="M9" i="129"/>
  <c r="M10" i="129"/>
  <c r="M11" i="129"/>
  <c r="M12" i="129"/>
  <c r="M13" i="129"/>
  <c r="M14" i="129"/>
  <c r="M15" i="129"/>
  <c r="M16" i="129"/>
  <c r="M17" i="129"/>
  <c r="M18" i="129"/>
  <c r="M19" i="129"/>
  <c r="M20" i="129"/>
  <c r="M21" i="129"/>
  <c r="M22" i="129"/>
  <c r="M23" i="129"/>
  <c r="M24" i="129"/>
  <c r="M25" i="129"/>
  <c r="M26" i="129"/>
  <c r="M27" i="129"/>
  <c r="M28" i="129"/>
  <c r="M29" i="129"/>
  <c r="M30" i="129"/>
  <c r="M31" i="129"/>
  <c r="M32" i="129"/>
  <c r="M34" i="129"/>
  <c r="M56" i="129" s="1"/>
  <c r="M35" i="129"/>
  <c r="M36" i="129"/>
  <c r="M37" i="129"/>
  <c r="M38" i="129"/>
  <c r="M39" i="129"/>
  <c r="M40" i="129"/>
  <c r="M41" i="129"/>
  <c r="M42" i="129"/>
  <c r="M43" i="129"/>
  <c r="M44" i="129"/>
  <c r="M45" i="129"/>
  <c r="M46" i="129"/>
  <c r="M47" i="129"/>
  <c r="M48" i="129"/>
  <c r="M49" i="129"/>
  <c r="M50" i="129"/>
  <c r="M51" i="129"/>
  <c r="M52" i="129"/>
  <c r="M53" i="129"/>
  <c r="M54" i="129"/>
  <c r="M55" i="129"/>
  <c r="M57" i="129"/>
  <c r="M60" i="129" s="1"/>
  <c r="M58" i="129"/>
  <c r="M59" i="129"/>
  <c r="M61" i="129"/>
  <c r="M6" i="129"/>
  <c r="O7" i="129"/>
  <c r="O8" i="129"/>
  <c r="O9" i="129"/>
  <c r="O10" i="129"/>
  <c r="O11" i="129"/>
  <c r="O12" i="129"/>
  <c r="O13" i="129"/>
  <c r="O14" i="129"/>
  <c r="O15" i="129"/>
  <c r="O16" i="129"/>
  <c r="O17" i="129"/>
  <c r="O18" i="129"/>
  <c r="O19" i="129"/>
  <c r="O20" i="129"/>
  <c r="O21" i="129"/>
  <c r="O28" i="129"/>
  <c r="O29" i="129"/>
  <c r="O30" i="129"/>
  <c r="O32" i="129"/>
  <c r="O22" i="129"/>
  <c r="O24" i="129"/>
  <c r="O25" i="129"/>
  <c r="O27" i="129"/>
  <c r="O34" i="129"/>
  <c r="O38" i="129"/>
  <c r="O42" i="129"/>
  <c r="O43" i="129"/>
  <c r="O44" i="129"/>
  <c r="O47" i="129"/>
  <c r="O50" i="129"/>
  <c r="O51" i="129"/>
  <c r="O52" i="129"/>
  <c r="O57" i="129"/>
  <c r="O58" i="129"/>
  <c r="O59" i="129"/>
  <c r="O6" i="129"/>
  <c r="N62" i="129"/>
  <c r="K62" i="129"/>
  <c r="I62" i="129"/>
  <c r="G62" i="129"/>
  <c r="F62" i="129"/>
  <c r="E62" i="129"/>
  <c r="D62" i="129"/>
  <c r="C62" i="129"/>
  <c r="N60" i="129"/>
  <c r="O60" i="129" s="1"/>
  <c r="K60" i="129"/>
  <c r="I60" i="129"/>
  <c r="G60" i="129"/>
  <c r="F60" i="129"/>
  <c r="E60" i="129"/>
  <c r="D60" i="129"/>
  <c r="C60" i="129"/>
  <c r="L59" i="129"/>
  <c r="J59" i="129"/>
  <c r="H59" i="129"/>
  <c r="L58" i="129"/>
  <c r="J58" i="129"/>
  <c r="H58" i="129"/>
  <c r="L57" i="129"/>
  <c r="J57" i="129"/>
  <c r="H57" i="129"/>
  <c r="N56" i="129"/>
  <c r="K56" i="129"/>
  <c r="I56" i="129"/>
  <c r="G56" i="129"/>
  <c r="F56" i="129"/>
  <c r="E56" i="129"/>
  <c r="D56" i="129"/>
  <c r="C56" i="129"/>
  <c r="O56" i="129" s="1"/>
  <c r="L52" i="129"/>
  <c r="J52" i="129"/>
  <c r="H52" i="129"/>
  <c r="L51" i="129"/>
  <c r="J51" i="129"/>
  <c r="H51" i="129"/>
  <c r="L50" i="129"/>
  <c r="J50" i="129"/>
  <c r="H50" i="129"/>
  <c r="L47" i="129"/>
  <c r="J47" i="129"/>
  <c r="H47" i="129"/>
  <c r="L44" i="129"/>
  <c r="J44" i="129"/>
  <c r="H44" i="129"/>
  <c r="L43" i="129"/>
  <c r="J43" i="129"/>
  <c r="H43" i="129"/>
  <c r="L42" i="129"/>
  <c r="J42" i="129"/>
  <c r="H42" i="129"/>
  <c r="L38" i="129"/>
  <c r="J38" i="129"/>
  <c r="H38" i="129"/>
  <c r="L34" i="129"/>
  <c r="J34" i="129"/>
  <c r="H34" i="129"/>
  <c r="N33" i="129"/>
  <c r="K33" i="129"/>
  <c r="I33" i="129"/>
  <c r="G33" i="129"/>
  <c r="F33" i="129"/>
  <c r="L33" i="129" s="1"/>
  <c r="E33" i="129"/>
  <c r="D33" i="129"/>
  <c r="C33" i="129"/>
  <c r="L27" i="129"/>
  <c r="J27" i="129"/>
  <c r="H27" i="129"/>
  <c r="L25" i="129"/>
  <c r="J25" i="129"/>
  <c r="H25" i="129"/>
  <c r="L24" i="129"/>
  <c r="J24" i="129"/>
  <c r="H24" i="129"/>
  <c r="L22" i="129"/>
  <c r="J22" i="129"/>
  <c r="H22" i="129"/>
  <c r="L32" i="129"/>
  <c r="J32" i="129"/>
  <c r="H32" i="129"/>
  <c r="L30" i="129"/>
  <c r="J30" i="129"/>
  <c r="H30" i="129"/>
  <c r="L29" i="129"/>
  <c r="J29" i="129"/>
  <c r="H29" i="129"/>
  <c r="L28" i="129"/>
  <c r="J28" i="129"/>
  <c r="H28" i="129"/>
  <c r="L21" i="129"/>
  <c r="J21" i="129"/>
  <c r="H21" i="129"/>
  <c r="L20" i="129"/>
  <c r="J20" i="129"/>
  <c r="H20" i="129"/>
  <c r="L19" i="129"/>
  <c r="J19" i="129"/>
  <c r="H19" i="129"/>
  <c r="L18" i="129"/>
  <c r="J18" i="129"/>
  <c r="H18" i="129"/>
  <c r="L17" i="129"/>
  <c r="J17" i="129"/>
  <c r="H17" i="129"/>
  <c r="L16" i="129"/>
  <c r="J16" i="129"/>
  <c r="H16" i="129"/>
  <c r="L15" i="129"/>
  <c r="J15" i="129"/>
  <c r="H15" i="129"/>
  <c r="L14" i="129"/>
  <c r="J14" i="129"/>
  <c r="H14" i="129"/>
  <c r="L13" i="129"/>
  <c r="J13" i="129"/>
  <c r="H13" i="129"/>
  <c r="L12" i="129"/>
  <c r="J12" i="129"/>
  <c r="H12" i="129"/>
  <c r="L11" i="129"/>
  <c r="J11" i="129"/>
  <c r="H11" i="129"/>
  <c r="L10" i="129"/>
  <c r="J10" i="129"/>
  <c r="H10" i="129"/>
  <c r="L9" i="129"/>
  <c r="J9" i="129"/>
  <c r="H9" i="129"/>
  <c r="L8" i="129"/>
  <c r="J8" i="129"/>
  <c r="H8" i="129"/>
  <c r="L7" i="129"/>
  <c r="J7" i="129"/>
  <c r="H7" i="129"/>
  <c r="L6" i="129"/>
  <c r="J6" i="129"/>
  <c r="H6" i="129"/>
  <c r="O33" i="129" l="1"/>
  <c r="L60" i="129"/>
  <c r="L56" i="129"/>
  <c r="C63" i="129"/>
  <c r="H63" i="129" s="1"/>
  <c r="G63" i="129"/>
  <c r="D63" i="129"/>
  <c r="H33" i="129"/>
  <c r="F63" i="129"/>
  <c r="J33" i="129"/>
  <c r="H56" i="129"/>
  <c r="J60" i="129"/>
  <c r="K63" i="129"/>
  <c r="J56" i="129"/>
  <c r="N63" i="129"/>
  <c r="I63" i="129"/>
  <c r="J63" i="129" s="1"/>
  <c r="H60" i="129"/>
  <c r="E63" i="129"/>
  <c r="O63" i="129" l="1"/>
  <c r="L63" i="129"/>
  <c r="P7" i="111"/>
  <c r="P8" i="111"/>
  <c r="P9" i="111"/>
  <c r="P10" i="111"/>
  <c r="P11" i="111"/>
  <c r="P12" i="111"/>
  <c r="P13" i="111"/>
  <c r="P14" i="111"/>
  <c r="P15" i="111"/>
  <c r="P16" i="111"/>
  <c r="P17" i="111"/>
  <c r="P18" i="111"/>
  <c r="P19" i="111"/>
  <c r="P20" i="111"/>
  <c r="P21" i="111"/>
  <c r="P22" i="111"/>
  <c r="P23" i="111"/>
  <c r="P24" i="111"/>
  <c r="P25" i="111"/>
  <c r="P26" i="111"/>
  <c r="P27" i="111"/>
  <c r="P28" i="111"/>
  <c r="P29" i="111"/>
  <c r="P30" i="111"/>
  <c r="P31" i="111"/>
  <c r="P32" i="111"/>
  <c r="P34" i="111"/>
  <c r="P35" i="111"/>
  <c r="P36" i="111"/>
  <c r="P37" i="111"/>
  <c r="P38" i="111"/>
  <c r="P39" i="111"/>
  <c r="P40" i="111"/>
  <c r="P41" i="111"/>
  <c r="P42" i="111"/>
  <c r="P43" i="111"/>
  <c r="P44" i="111"/>
  <c r="P45" i="111"/>
  <c r="P46" i="111"/>
  <c r="P47" i="111"/>
  <c r="P48" i="111"/>
  <c r="P49" i="111"/>
  <c r="P50" i="111"/>
  <c r="P51" i="111"/>
  <c r="P52" i="111"/>
  <c r="P53" i="111"/>
  <c r="P54" i="111"/>
  <c r="P55" i="111"/>
  <c r="P57" i="111"/>
  <c r="P58" i="111"/>
  <c r="P59" i="111"/>
  <c r="P61" i="111"/>
  <c r="P6" i="111"/>
  <c r="O7" i="111"/>
  <c r="O8" i="111"/>
  <c r="O9" i="111"/>
  <c r="O10" i="111"/>
  <c r="O11" i="111"/>
  <c r="O12" i="111"/>
  <c r="O13" i="111"/>
  <c r="O14" i="111"/>
  <c r="O15" i="111"/>
  <c r="O16" i="111"/>
  <c r="O17" i="111"/>
  <c r="O18" i="111"/>
  <c r="O19" i="111"/>
  <c r="O20" i="111"/>
  <c r="O21" i="111"/>
  <c r="O22" i="111"/>
  <c r="O23" i="111"/>
  <c r="O24" i="111"/>
  <c r="O25" i="111"/>
  <c r="O26" i="111"/>
  <c r="O27" i="111"/>
  <c r="O28" i="111"/>
  <c r="O29" i="111"/>
  <c r="O30" i="111"/>
  <c r="O31" i="111"/>
  <c r="O32" i="111"/>
  <c r="O34" i="111"/>
  <c r="O35" i="111"/>
  <c r="O36" i="111"/>
  <c r="O37" i="111"/>
  <c r="O38" i="111"/>
  <c r="O39" i="111"/>
  <c r="O40" i="111"/>
  <c r="O41" i="111"/>
  <c r="O42" i="111"/>
  <c r="O43" i="111"/>
  <c r="O44" i="111"/>
  <c r="O45" i="111"/>
  <c r="O46" i="111"/>
  <c r="O47" i="111"/>
  <c r="O48" i="111"/>
  <c r="O49" i="111"/>
  <c r="O50" i="111"/>
  <c r="O51" i="111"/>
  <c r="O52" i="111"/>
  <c r="O53" i="111"/>
  <c r="O54" i="111"/>
  <c r="O55" i="111"/>
  <c r="O57" i="111"/>
  <c r="O58" i="111"/>
  <c r="O59" i="111"/>
  <c r="O61" i="111"/>
  <c r="O6" i="111"/>
  <c r="E62" i="111"/>
  <c r="F62" i="111"/>
  <c r="G62" i="111"/>
  <c r="H62" i="111"/>
  <c r="I62" i="111"/>
  <c r="J62" i="111"/>
  <c r="K62" i="111"/>
  <c r="L62" i="111"/>
  <c r="M62" i="111"/>
  <c r="N62" i="111"/>
  <c r="Q62" i="111"/>
  <c r="R62" i="111"/>
  <c r="E60" i="111"/>
  <c r="F60" i="111"/>
  <c r="G60" i="111"/>
  <c r="H60" i="111"/>
  <c r="I60" i="111"/>
  <c r="J60" i="111"/>
  <c r="K60" i="111"/>
  <c r="L60" i="111"/>
  <c r="M60" i="111"/>
  <c r="N60" i="111"/>
  <c r="Q60" i="111"/>
  <c r="R60" i="111"/>
  <c r="E56" i="111"/>
  <c r="F56" i="111"/>
  <c r="G56" i="111"/>
  <c r="H56" i="111"/>
  <c r="I56" i="111"/>
  <c r="J56" i="111"/>
  <c r="K56" i="111"/>
  <c r="L56" i="111"/>
  <c r="M56" i="111"/>
  <c r="N56" i="111"/>
  <c r="Q56" i="111"/>
  <c r="R56" i="111"/>
  <c r="E33" i="111"/>
  <c r="E63" i="111" s="1"/>
  <c r="F33" i="111"/>
  <c r="F63" i="111" s="1"/>
  <c r="G33" i="111"/>
  <c r="G63" i="111" s="1"/>
  <c r="H33" i="111"/>
  <c r="H63" i="111" s="1"/>
  <c r="I33" i="111"/>
  <c r="I63" i="111" s="1"/>
  <c r="J33" i="111"/>
  <c r="J63" i="111" s="1"/>
  <c r="K33" i="111"/>
  <c r="K63" i="111" s="1"/>
  <c r="L33" i="111"/>
  <c r="L63" i="111" s="1"/>
  <c r="M33" i="111"/>
  <c r="M63" i="111" s="1"/>
  <c r="N33" i="111"/>
  <c r="Q33" i="111"/>
  <c r="Q63" i="111" s="1"/>
  <c r="R33" i="111"/>
  <c r="R63" i="111" s="1"/>
  <c r="V57" i="77"/>
  <c r="V58" i="77"/>
  <c r="V59" i="77"/>
  <c r="Q57" i="77"/>
  <c r="Q58" i="77"/>
  <c r="Q59" i="77"/>
  <c r="L57" i="77"/>
  <c r="L58" i="77"/>
  <c r="L59" i="77"/>
  <c r="G57" i="77"/>
  <c r="G58" i="77"/>
  <c r="G59" i="77"/>
  <c r="V8" i="77"/>
  <c r="V9" i="77"/>
  <c r="V12" i="77"/>
  <c r="V13" i="77"/>
  <c r="V14" i="77"/>
  <c r="V15" i="77"/>
  <c r="V17" i="77"/>
  <c r="V18" i="77"/>
  <c r="V27" i="77"/>
  <c r="V28" i="77"/>
  <c r="V29" i="77"/>
  <c r="V30" i="77"/>
  <c r="V6" i="77"/>
  <c r="Q8" i="77"/>
  <c r="Q9" i="77"/>
  <c r="Q13" i="77"/>
  <c r="Q18" i="77"/>
  <c r="Q27" i="77"/>
  <c r="Q28" i="77"/>
  <c r="Q30" i="77"/>
  <c r="Q6" i="77"/>
  <c r="L7" i="77"/>
  <c r="L8" i="77"/>
  <c r="L9" i="77"/>
  <c r="L12" i="77"/>
  <c r="L13" i="77"/>
  <c r="L14" i="77"/>
  <c r="L15" i="77"/>
  <c r="L16" i="77"/>
  <c r="L17" i="77"/>
  <c r="L18" i="77"/>
  <c r="L27" i="77"/>
  <c r="L28" i="77"/>
  <c r="L29" i="77"/>
  <c r="L30" i="77"/>
  <c r="L31" i="77"/>
  <c r="L32" i="77"/>
  <c r="L6" i="77"/>
  <c r="G7" i="77"/>
  <c r="G8" i="77"/>
  <c r="G9" i="77"/>
  <c r="G12" i="77"/>
  <c r="G13" i="77"/>
  <c r="G14" i="77"/>
  <c r="G15" i="77"/>
  <c r="G16" i="77"/>
  <c r="G17" i="77"/>
  <c r="G18" i="77"/>
  <c r="G27" i="77"/>
  <c r="G28" i="77"/>
  <c r="G29" i="77"/>
  <c r="G30" i="77"/>
  <c r="G31" i="77"/>
  <c r="G32" i="77"/>
  <c r="G6" i="77"/>
  <c r="D23" i="85"/>
  <c r="D62" i="73"/>
  <c r="G62" i="73" s="1"/>
  <c r="E62" i="73"/>
  <c r="F62" i="73"/>
  <c r="H62" i="73"/>
  <c r="I62" i="73"/>
  <c r="J62" i="73"/>
  <c r="K62" i="73"/>
  <c r="L62" i="73" s="1"/>
  <c r="G62" i="109"/>
  <c r="D62" i="109"/>
  <c r="E62" i="109"/>
  <c r="F62" i="109"/>
  <c r="H62" i="109"/>
  <c r="I62" i="109"/>
  <c r="J62" i="109"/>
  <c r="K62" i="109"/>
  <c r="M62" i="109"/>
  <c r="N62" i="109"/>
  <c r="C62" i="109"/>
  <c r="L26" i="105"/>
  <c r="J26" i="105"/>
  <c r="H25" i="103"/>
  <c r="T23" i="105"/>
  <c r="T22" i="105"/>
  <c r="N63" i="111" l="1"/>
  <c r="T43" i="105" l="1"/>
  <c r="T10" i="105" l="1"/>
  <c r="E55" i="112" l="1"/>
  <c r="E54" i="112"/>
  <c r="E53" i="112"/>
  <c r="E52" i="112"/>
  <c r="E51" i="112"/>
  <c r="E50" i="112"/>
  <c r="E49" i="112"/>
  <c r="E48" i="112"/>
  <c r="E47" i="112"/>
  <c r="E46" i="112"/>
  <c r="E45" i="112"/>
  <c r="E44" i="112"/>
  <c r="E43" i="112"/>
  <c r="E42" i="112"/>
  <c r="E41" i="112"/>
  <c r="E40" i="112"/>
  <c r="E39" i="112"/>
  <c r="E38" i="112"/>
  <c r="E37" i="112"/>
  <c r="E36" i="112"/>
  <c r="E35" i="112"/>
  <c r="E34" i="112"/>
  <c r="E33" i="112"/>
  <c r="E32" i="112"/>
  <c r="E31" i="112"/>
  <c r="E30" i="112"/>
  <c r="E29" i="112"/>
  <c r="E28" i="112"/>
  <c r="E27" i="112"/>
  <c r="E26" i="112"/>
  <c r="E25" i="112"/>
  <c r="E24" i="112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E11" i="112"/>
  <c r="E10" i="112"/>
  <c r="E9" i="112"/>
  <c r="E8" i="112"/>
  <c r="E7" i="112"/>
  <c r="E6" i="112"/>
  <c r="E5" i="112"/>
  <c r="E41" i="7" l="1"/>
  <c r="O44" i="93"/>
  <c r="P44" i="93"/>
  <c r="O62" i="71" l="1"/>
  <c r="P62" i="71"/>
  <c r="O60" i="71"/>
  <c r="P60" i="71"/>
  <c r="O56" i="71"/>
  <c r="P56" i="71"/>
  <c r="O33" i="71"/>
  <c r="P33" i="71"/>
  <c r="J62" i="71"/>
  <c r="K62" i="71"/>
  <c r="J60" i="71"/>
  <c r="K60" i="71"/>
  <c r="J56" i="71"/>
  <c r="K56" i="71"/>
  <c r="J33" i="71"/>
  <c r="K33" i="71"/>
  <c r="E62" i="71"/>
  <c r="F62" i="71"/>
  <c r="E60" i="71"/>
  <c r="F60" i="71"/>
  <c r="E56" i="71"/>
  <c r="F56" i="71"/>
  <c r="E33" i="71"/>
  <c r="F33" i="71"/>
  <c r="F63" i="71" s="1"/>
  <c r="E56" i="93"/>
  <c r="F56" i="93"/>
  <c r="G56" i="93"/>
  <c r="H56" i="93"/>
  <c r="I56" i="93"/>
  <c r="J56" i="93"/>
  <c r="K56" i="93"/>
  <c r="L56" i="93"/>
  <c r="M56" i="93"/>
  <c r="N56" i="93"/>
  <c r="E33" i="93"/>
  <c r="F33" i="93"/>
  <c r="G33" i="93"/>
  <c r="H33" i="93"/>
  <c r="I33" i="93"/>
  <c r="J33" i="93"/>
  <c r="K33" i="93"/>
  <c r="L33" i="93"/>
  <c r="M33" i="93"/>
  <c r="N33" i="93"/>
  <c r="E63" i="71" l="1"/>
  <c r="K63" i="71"/>
  <c r="J63" i="71"/>
  <c r="P63" i="71"/>
  <c r="O63" i="71"/>
  <c r="M5" i="3" l="1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5" i="3"/>
  <c r="M56" i="3"/>
  <c r="M57" i="3"/>
  <c r="M59" i="3"/>
  <c r="M4" i="3"/>
  <c r="D33" i="9" l="1"/>
  <c r="D62" i="9"/>
  <c r="E62" i="9"/>
  <c r="F62" i="9"/>
  <c r="D60" i="9"/>
  <c r="E60" i="9"/>
  <c r="F60" i="9"/>
  <c r="D56" i="9"/>
  <c r="E56" i="9"/>
  <c r="F56" i="9"/>
  <c r="E33" i="9"/>
  <c r="F33" i="9"/>
  <c r="C62" i="9"/>
  <c r="C60" i="9"/>
  <c r="C56" i="9"/>
  <c r="C33" i="9"/>
  <c r="E63" i="9" l="1"/>
  <c r="C63" i="9"/>
  <c r="F63" i="9"/>
  <c r="D63" i="9"/>
  <c r="E15" i="124" l="1"/>
  <c r="E9" i="124"/>
  <c r="E12" i="124"/>
  <c r="E11" i="124"/>
  <c r="E19" i="124"/>
  <c r="E18" i="124"/>
  <c r="E7" i="124"/>
  <c r="E14" i="124"/>
  <c r="E17" i="124"/>
  <c r="E10" i="124"/>
  <c r="E13" i="124"/>
  <c r="E8" i="124"/>
  <c r="E6" i="124"/>
  <c r="E16" i="124"/>
  <c r="E21" i="124" l="1"/>
  <c r="D55" i="73"/>
  <c r="N7" i="15" l="1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7" i="15"/>
  <c r="N58" i="15"/>
  <c r="N59" i="15"/>
  <c r="N61" i="15"/>
  <c r="N6" i="15"/>
  <c r="D62" i="15" l="1"/>
  <c r="C62" i="15"/>
  <c r="D60" i="15"/>
  <c r="N60" i="15" s="1"/>
  <c r="C60" i="15"/>
  <c r="D56" i="15"/>
  <c r="N56" i="15" s="1"/>
  <c r="C56" i="15"/>
  <c r="D33" i="15"/>
  <c r="N33" i="15" s="1"/>
  <c r="C33" i="15"/>
  <c r="C63" i="15" l="1"/>
  <c r="D63" i="15"/>
  <c r="N63" i="15" s="1"/>
  <c r="N62" i="15"/>
  <c r="D62" i="77" l="1"/>
  <c r="E62" i="77"/>
  <c r="F62" i="77"/>
  <c r="H62" i="77"/>
  <c r="I62" i="77"/>
  <c r="J62" i="77"/>
  <c r="K62" i="77"/>
  <c r="M62" i="77"/>
  <c r="N62" i="77"/>
  <c r="R62" i="77"/>
  <c r="S62" i="77"/>
  <c r="T62" i="77"/>
  <c r="U62" i="77"/>
  <c r="C62" i="77"/>
  <c r="D60" i="77"/>
  <c r="E60" i="77"/>
  <c r="F60" i="77"/>
  <c r="H60" i="77"/>
  <c r="I60" i="77"/>
  <c r="J60" i="77"/>
  <c r="K60" i="77"/>
  <c r="M60" i="77"/>
  <c r="N60" i="77"/>
  <c r="O60" i="77"/>
  <c r="P60" i="77"/>
  <c r="R60" i="77"/>
  <c r="S60" i="77"/>
  <c r="T60" i="77"/>
  <c r="U60" i="77"/>
  <c r="C60" i="77"/>
  <c r="D56" i="77"/>
  <c r="E56" i="77"/>
  <c r="F56" i="77"/>
  <c r="H56" i="77"/>
  <c r="I56" i="77"/>
  <c r="J56" i="77"/>
  <c r="K56" i="77"/>
  <c r="M56" i="77"/>
  <c r="N56" i="77"/>
  <c r="O56" i="77"/>
  <c r="P56" i="77"/>
  <c r="R56" i="77"/>
  <c r="S56" i="77"/>
  <c r="T56" i="77"/>
  <c r="U56" i="77"/>
  <c r="D33" i="77"/>
  <c r="E33" i="77"/>
  <c r="F33" i="77"/>
  <c r="H33" i="77"/>
  <c r="I33" i="77"/>
  <c r="J33" i="77"/>
  <c r="K33" i="77"/>
  <c r="M33" i="77"/>
  <c r="N33" i="77"/>
  <c r="O33" i="77"/>
  <c r="P33" i="77"/>
  <c r="R33" i="77"/>
  <c r="S33" i="77"/>
  <c r="T33" i="77"/>
  <c r="U33" i="77"/>
  <c r="V60" i="77" l="1"/>
  <c r="Q60" i="77"/>
  <c r="L60" i="77"/>
  <c r="G60" i="77"/>
  <c r="V33" i="77"/>
  <c r="Q33" i="77"/>
  <c r="G33" i="77"/>
  <c r="L33" i="77"/>
  <c r="T63" i="77"/>
  <c r="R63" i="77"/>
  <c r="N63" i="77"/>
  <c r="O63" i="77"/>
  <c r="J63" i="77"/>
  <c r="I63" i="77"/>
  <c r="H63" i="77"/>
  <c r="D63" i="77"/>
  <c r="E63" i="77"/>
  <c r="U63" i="77"/>
  <c r="F63" i="77"/>
  <c r="M63" i="77"/>
  <c r="S63" i="77"/>
  <c r="P63" i="77"/>
  <c r="K63" i="77"/>
  <c r="O68" i="78"/>
  <c r="P68" i="78"/>
  <c r="Q63" i="77" l="1"/>
  <c r="G63" i="77"/>
  <c r="L63" i="77"/>
  <c r="V63" i="77"/>
  <c r="C56" i="118" l="1"/>
  <c r="D56" i="118"/>
  <c r="E56" i="118"/>
  <c r="F56" i="118"/>
  <c r="G56" i="118"/>
  <c r="H56" i="118"/>
  <c r="D56" i="111" l="1"/>
  <c r="O31" i="85" l="1"/>
  <c r="O32" i="85"/>
  <c r="O59" i="85"/>
  <c r="O33" i="85" l="1"/>
  <c r="O8" i="85"/>
  <c r="O9" i="85"/>
  <c r="O12" i="85"/>
  <c r="O13" i="85"/>
  <c r="O14" i="85"/>
  <c r="O16" i="85"/>
  <c r="O17" i="85"/>
  <c r="O18" i="85"/>
  <c r="O20" i="85"/>
  <c r="O21" i="85"/>
  <c r="O22" i="85"/>
  <c r="O24" i="85"/>
  <c r="O25" i="85"/>
  <c r="O26" i="85"/>
  <c r="O28" i="85"/>
  <c r="O29" i="85"/>
  <c r="O30" i="85"/>
  <c r="O34" i="85"/>
  <c r="O36" i="85"/>
  <c r="O37" i="85"/>
  <c r="O38" i="85"/>
  <c r="O40" i="85"/>
  <c r="O41" i="85"/>
  <c r="O42" i="85"/>
  <c r="O44" i="85"/>
  <c r="O45" i="85"/>
  <c r="O46" i="85"/>
  <c r="O48" i="85"/>
  <c r="O49" i="85"/>
  <c r="O50" i="85"/>
  <c r="O52" i="85"/>
  <c r="O53" i="85"/>
  <c r="O54" i="85"/>
  <c r="O56" i="85"/>
  <c r="O57" i="85"/>
  <c r="O58" i="85"/>
  <c r="O7" i="85"/>
  <c r="O10" i="85"/>
  <c r="O11" i="85"/>
  <c r="O15" i="85"/>
  <c r="O19" i="85"/>
  <c r="O23" i="85"/>
  <c r="O27" i="85"/>
  <c r="O35" i="85"/>
  <c r="O39" i="85"/>
  <c r="O43" i="85"/>
  <c r="O47" i="85"/>
  <c r="O51" i="85"/>
  <c r="O55" i="85"/>
  <c r="O6" i="85"/>
  <c r="C33" i="78"/>
  <c r="D33" i="78"/>
  <c r="E33" i="78"/>
  <c r="F33" i="78"/>
  <c r="G33" i="78"/>
  <c r="H33" i="78"/>
  <c r="I33" i="78"/>
  <c r="J33" i="78"/>
  <c r="K33" i="78"/>
  <c r="L33" i="78"/>
  <c r="D62" i="42" l="1"/>
  <c r="E62" i="42"/>
  <c r="F62" i="42"/>
  <c r="C62" i="42"/>
  <c r="D60" i="42"/>
  <c r="E60" i="42"/>
  <c r="F60" i="42"/>
  <c r="C60" i="42"/>
  <c r="D56" i="42"/>
  <c r="E56" i="42"/>
  <c r="F56" i="42"/>
  <c r="C56" i="42"/>
  <c r="D33" i="42"/>
  <c r="E33" i="42"/>
  <c r="F33" i="42"/>
  <c r="C33" i="42"/>
  <c r="C63" i="42" l="1"/>
  <c r="F63" i="42"/>
  <c r="E63" i="42"/>
  <c r="D63" i="42"/>
  <c r="D27" i="73"/>
  <c r="D33" i="104" l="1"/>
  <c r="G33" i="104"/>
  <c r="H33" i="104"/>
  <c r="I33" i="104"/>
  <c r="J33" i="104"/>
  <c r="D62" i="107"/>
  <c r="E62" i="107"/>
  <c r="F62" i="107"/>
  <c r="G62" i="107"/>
  <c r="H62" i="107"/>
  <c r="I62" i="107"/>
  <c r="J62" i="107"/>
  <c r="K62" i="107"/>
  <c r="L62" i="107"/>
  <c r="M62" i="107"/>
  <c r="N62" i="107"/>
  <c r="D60" i="107"/>
  <c r="E60" i="107"/>
  <c r="F60" i="107"/>
  <c r="G60" i="107"/>
  <c r="H60" i="107"/>
  <c r="I60" i="107"/>
  <c r="J60" i="107"/>
  <c r="K60" i="107"/>
  <c r="L60" i="107"/>
  <c r="M60" i="107"/>
  <c r="D56" i="107"/>
  <c r="E56" i="107"/>
  <c r="F56" i="107"/>
  <c r="G56" i="107"/>
  <c r="H56" i="107"/>
  <c r="I56" i="107"/>
  <c r="J56" i="107"/>
  <c r="K56" i="107"/>
  <c r="L56" i="107"/>
  <c r="M56" i="107"/>
  <c r="N56" i="107"/>
  <c r="D33" i="107"/>
  <c r="E33" i="107"/>
  <c r="F33" i="107"/>
  <c r="G33" i="107"/>
  <c r="H33" i="107"/>
  <c r="I33" i="107"/>
  <c r="J33" i="107"/>
  <c r="K33" i="107"/>
  <c r="L33" i="107"/>
  <c r="M33" i="107"/>
  <c r="D62" i="104"/>
  <c r="G62" i="104"/>
  <c r="H62" i="104"/>
  <c r="I62" i="104"/>
  <c r="J62" i="104"/>
  <c r="D60" i="104"/>
  <c r="G60" i="104"/>
  <c r="H60" i="104"/>
  <c r="I60" i="104"/>
  <c r="J60" i="104"/>
  <c r="D56" i="104"/>
  <c r="G56" i="104"/>
  <c r="H56" i="104"/>
  <c r="I56" i="104"/>
  <c r="J56" i="104"/>
  <c r="L7" i="104"/>
  <c r="L8" i="104"/>
  <c r="L9" i="104"/>
  <c r="L10" i="104"/>
  <c r="L11" i="104"/>
  <c r="L12" i="104"/>
  <c r="L13" i="104"/>
  <c r="L14" i="104"/>
  <c r="L15" i="104"/>
  <c r="L16" i="104"/>
  <c r="L17" i="104"/>
  <c r="L18" i="104"/>
  <c r="L19" i="104"/>
  <c r="L20" i="104"/>
  <c r="L21" i="104"/>
  <c r="L22" i="104"/>
  <c r="L23" i="104"/>
  <c r="L24" i="104"/>
  <c r="L25" i="104"/>
  <c r="L26" i="104"/>
  <c r="L27" i="104"/>
  <c r="L28" i="104"/>
  <c r="L29" i="104"/>
  <c r="L30" i="104"/>
  <c r="L31" i="104"/>
  <c r="L32" i="104"/>
  <c r="L34" i="104"/>
  <c r="L35" i="104"/>
  <c r="L36" i="104"/>
  <c r="L37" i="104"/>
  <c r="L38" i="104"/>
  <c r="L39" i="104"/>
  <c r="L40" i="104"/>
  <c r="L41" i="104"/>
  <c r="L42" i="104"/>
  <c r="L43" i="104"/>
  <c r="L44" i="104"/>
  <c r="L45" i="104"/>
  <c r="L46" i="104"/>
  <c r="L47" i="104"/>
  <c r="L48" i="104"/>
  <c r="L49" i="104"/>
  <c r="L50" i="104"/>
  <c r="L51" i="104"/>
  <c r="L52" i="104"/>
  <c r="L53" i="104"/>
  <c r="L54" i="104"/>
  <c r="L55" i="104"/>
  <c r="L57" i="104"/>
  <c r="L58" i="104"/>
  <c r="L59" i="104"/>
  <c r="L61" i="104"/>
  <c r="K7" i="104"/>
  <c r="Q7" i="104" s="1"/>
  <c r="K8" i="104"/>
  <c r="Q8" i="104" s="1"/>
  <c r="K9" i="104"/>
  <c r="Q9" i="104" s="1"/>
  <c r="K10" i="104"/>
  <c r="Q10" i="104" s="1"/>
  <c r="K11" i="104"/>
  <c r="Q11" i="104" s="1"/>
  <c r="K13" i="104"/>
  <c r="Q13" i="104" s="1"/>
  <c r="K14" i="104"/>
  <c r="Q14" i="104" s="1"/>
  <c r="K15" i="104"/>
  <c r="Q15" i="104" s="1"/>
  <c r="K16" i="104"/>
  <c r="Q16" i="104" s="1"/>
  <c r="K17" i="104"/>
  <c r="Q17" i="104" s="1"/>
  <c r="K18" i="104"/>
  <c r="Q18" i="104" s="1"/>
  <c r="K19" i="104"/>
  <c r="Q19" i="104" s="1"/>
  <c r="K20" i="104"/>
  <c r="Q20" i="104" s="1"/>
  <c r="K21" i="104"/>
  <c r="Q21" i="104" s="1"/>
  <c r="K22" i="104"/>
  <c r="Q22" i="104" s="1"/>
  <c r="K23" i="104"/>
  <c r="Q23" i="104" s="1"/>
  <c r="K24" i="104"/>
  <c r="Q24" i="104" s="1"/>
  <c r="K25" i="104"/>
  <c r="Q25" i="104" s="1"/>
  <c r="K26" i="104"/>
  <c r="Q26" i="104" s="1"/>
  <c r="K27" i="104"/>
  <c r="Q27" i="104" s="1"/>
  <c r="K28" i="104"/>
  <c r="Q28" i="104" s="1"/>
  <c r="K29" i="104"/>
  <c r="Q29" i="104" s="1"/>
  <c r="K30" i="104"/>
  <c r="Q30" i="104" s="1"/>
  <c r="K31" i="104"/>
  <c r="Q31" i="104" s="1"/>
  <c r="K32" i="104"/>
  <c r="Q32" i="104" s="1"/>
  <c r="K34" i="104"/>
  <c r="Q34" i="104" s="1"/>
  <c r="K35" i="104"/>
  <c r="Q35" i="104" s="1"/>
  <c r="K36" i="104"/>
  <c r="Q36" i="104" s="1"/>
  <c r="K37" i="104"/>
  <c r="Q37" i="104" s="1"/>
  <c r="K38" i="104"/>
  <c r="Q38" i="104" s="1"/>
  <c r="K39" i="104"/>
  <c r="Q39" i="104" s="1"/>
  <c r="K40" i="104"/>
  <c r="Q40" i="104" s="1"/>
  <c r="K41" i="104"/>
  <c r="Q41" i="104" s="1"/>
  <c r="K42" i="104"/>
  <c r="Q42" i="104" s="1"/>
  <c r="K43" i="104"/>
  <c r="Q43" i="104" s="1"/>
  <c r="K44" i="104"/>
  <c r="Q44" i="104" s="1"/>
  <c r="K45" i="104"/>
  <c r="Q45" i="104" s="1"/>
  <c r="K46" i="104"/>
  <c r="Q46" i="104" s="1"/>
  <c r="K47" i="104"/>
  <c r="Q47" i="104" s="1"/>
  <c r="K48" i="104"/>
  <c r="Q48" i="104" s="1"/>
  <c r="K49" i="104"/>
  <c r="Q49" i="104" s="1"/>
  <c r="K50" i="104"/>
  <c r="Q50" i="104" s="1"/>
  <c r="K51" i="104"/>
  <c r="Q51" i="104" s="1"/>
  <c r="K52" i="104"/>
  <c r="Q52" i="104" s="1"/>
  <c r="K53" i="104"/>
  <c r="Q53" i="104" s="1"/>
  <c r="K54" i="104"/>
  <c r="Q54" i="104" s="1"/>
  <c r="K55" i="104"/>
  <c r="Q55" i="104" s="1"/>
  <c r="K57" i="104"/>
  <c r="Q57" i="104" s="1"/>
  <c r="K58" i="104"/>
  <c r="Q58" i="104" s="1"/>
  <c r="K59" i="104"/>
  <c r="Q59" i="104" s="1"/>
  <c r="K61" i="104"/>
  <c r="Q61" i="104" s="1"/>
  <c r="D33" i="103"/>
  <c r="E33" i="103"/>
  <c r="F33" i="103"/>
  <c r="G33" i="103"/>
  <c r="H33" i="103"/>
  <c r="I33" i="103"/>
  <c r="J33" i="103"/>
  <c r="K33" i="103"/>
  <c r="L33" i="103"/>
  <c r="N7" i="103"/>
  <c r="P7" i="107" s="1"/>
  <c r="N8" i="103"/>
  <c r="N9" i="103"/>
  <c r="P9" i="107" s="1"/>
  <c r="N10" i="103"/>
  <c r="P10" i="107" s="1"/>
  <c r="W10" i="105" s="1"/>
  <c r="N11" i="103"/>
  <c r="P11" i="107" s="1"/>
  <c r="N12" i="103"/>
  <c r="N13" i="103"/>
  <c r="P13" i="107" s="1"/>
  <c r="W13" i="105" s="1"/>
  <c r="N14" i="103"/>
  <c r="P14" i="107" s="1"/>
  <c r="W14" i="105" s="1"/>
  <c r="N15" i="103"/>
  <c r="P15" i="107" s="1"/>
  <c r="N16" i="103"/>
  <c r="N17" i="103"/>
  <c r="P17" i="107" s="1"/>
  <c r="N18" i="103"/>
  <c r="P18" i="107" s="1"/>
  <c r="W18" i="105" s="1"/>
  <c r="N19" i="103"/>
  <c r="P19" i="107" s="1"/>
  <c r="N20" i="103"/>
  <c r="N21" i="103"/>
  <c r="P21" i="107" s="1"/>
  <c r="W21" i="105" s="1"/>
  <c r="N22" i="103"/>
  <c r="P22" i="107" s="1"/>
  <c r="W22" i="105" s="1"/>
  <c r="N23" i="103"/>
  <c r="P23" i="107" s="1"/>
  <c r="N24" i="103"/>
  <c r="N25" i="103"/>
  <c r="P25" i="107" s="1"/>
  <c r="N26" i="103"/>
  <c r="P26" i="107" s="1"/>
  <c r="W26" i="105" s="1"/>
  <c r="N27" i="103"/>
  <c r="P27" i="107" s="1"/>
  <c r="N28" i="103"/>
  <c r="N29" i="103"/>
  <c r="P29" i="107" s="1"/>
  <c r="W29" i="105" s="1"/>
  <c r="N30" i="103"/>
  <c r="P30" i="107" s="1"/>
  <c r="W30" i="105" s="1"/>
  <c r="N31" i="103"/>
  <c r="P31" i="107" s="1"/>
  <c r="N32" i="103"/>
  <c r="N34" i="103"/>
  <c r="P34" i="107" s="1"/>
  <c r="N35" i="103"/>
  <c r="P35" i="107" s="1"/>
  <c r="N36" i="103"/>
  <c r="P36" i="107" s="1"/>
  <c r="W36" i="105" s="1"/>
  <c r="N37" i="103"/>
  <c r="N38" i="103"/>
  <c r="P38" i="107" s="1"/>
  <c r="W38" i="105" s="1"/>
  <c r="N39" i="103"/>
  <c r="P39" i="107" s="1"/>
  <c r="W39" i="105" s="1"/>
  <c r="N40" i="103"/>
  <c r="P40" i="107" s="1"/>
  <c r="W40" i="105" s="1"/>
  <c r="N41" i="103"/>
  <c r="N42" i="103"/>
  <c r="P42" i="107" s="1"/>
  <c r="W42" i="105" s="1"/>
  <c r="N43" i="103"/>
  <c r="P43" i="107" s="1"/>
  <c r="N44" i="103"/>
  <c r="P44" i="107" s="1"/>
  <c r="W44" i="105" s="1"/>
  <c r="N45" i="103"/>
  <c r="N46" i="103"/>
  <c r="P46" i="107" s="1"/>
  <c r="W46" i="105" s="1"/>
  <c r="N47" i="103"/>
  <c r="P47" i="107" s="1"/>
  <c r="W47" i="105" s="1"/>
  <c r="N48" i="103"/>
  <c r="P48" i="107" s="1"/>
  <c r="W48" i="105" s="1"/>
  <c r="N49" i="103"/>
  <c r="N50" i="103"/>
  <c r="P50" i="107" s="1"/>
  <c r="W50" i="105" s="1"/>
  <c r="N51" i="103"/>
  <c r="P51" i="107" s="1"/>
  <c r="N53" i="103"/>
  <c r="N54" i="103"/>
  <c r="N55" i="103"/>
  <c r="N57" i="103"/>
  <c r="N58" i="103"/>
  <c r="N59" i="103"/>
  <c r="N61" i="103"/>
  <c r="M7" i="103"/>
  <c r="M8" i="103"/>
  <c r="M9" i="103"/>
  <c r="M10" i="103"/>
  <c r="M11" i="103"/>
  <c r="M12" i="103"/>
  <c r="M13" i="103"/>
  <c r="O13" i="107" s="1"/>
  <c r="M14" i="103"/>
  <c r="O14" i="107" s="1"/>
  <c r="M15" i="103"/>
  <c r="O15" i="107" s="1"/>
  <c r="M16" i="103"/>
  <c r="O16" i="107" s="1"/>
  <c r="M17" i="103"/>
  <c r="O17" i="107" s="1"/>
  <c r="M18" i="103"/>
  <c r="O18" i="107" s="1"/>
  <c r="M19" i="103"/>
  <c r="O19" i="107" s="1"/>
  <c r="M20" i="103"/>
  <c r="O20" i="107" s="1"/>
  <c r="M21" i="103"/>
  <c r="O21" i="107" s="1"/>
  <c r="M22" i="103"/>
  <c r="O22" i="107" s="1"/>
  <c r="M23" i="103"/>
  <c r="O23" i="107" s="1"/>
  <c r="M24" i="103"/>
  <c r="O24" i="107" s="1"/>
  <c r="M25" i="103"/>
  <c r="O25" i="107" s="1"/>
  <c r="M26" i="103"/>
  <c r="O26" i="107" s="1"/>
  <c r="M27" i="103"/>
  <c r="O27" i="107" s="1"/>
  <c r="M28" i="103"/>
  <c r="O28" i="107" s="1"/>
  <c r="M29" i="103"/>
  <c r="O29" i="107" s="1"/>
  <c r="M30" i="103"/>
  <c r="O30" i="107" s="1"/>
  <c r="M31" i="103"/>
  <c r="O31" i="107" s="1"/>
  <c r="M32" i="103"/>
  <c r="O32" i="107" s="1"/>
  <c r="M34" i="103"/>
  <c r="O34" i="107" s="1"/>
  <c r="M35" i="103"/>
  <c r="O35" i="107" s="1"/>
  <c r="M36" i="103"/>
  <c r="O36" i="107" s="1"/>
  <c r="M37" i="103"/>
  <c r="O37" i="107" s="1"/>
  <c r="M38" i="103"/>
  <c r="O38" i="107" s="1"/>
  <c r="M39" i="103"/>
  <c r="O39" i="107" s="1"/>
  <c r="M40" i="103"/>
  <c r="O40" i="107" s="1"/>
  <c r="M41" i="103"/>
  <c r="O41" i="107" s="1"/>
  <c r="M42" i="103"/>
  <c r="O42" i="107" s="1"/>
  <c r="M43" i="103"/>
  <c r="O43" i="107" s="1"/>
  <c r="M44" i="103"/>
  <c r="O44" i="107" s="1"/>
  <c r="M45" i="103"/>
  <c r="O45" i="107" s="1"/>
  <c r="M46" i="103"/>
  <c r="O46" i="107" s="1"/>
  <c r="M47" i="103"/>
  <c r="O47" i="107" s="1"/>
  <c r="M48" i="103"/>
  <c r="O48" i="107" s="1"/>
  <c r="M49" i="103"/>
  <c r="O49" i="107" s="1"/>
  <c r="M50" i="103"/>
  <c r="O50" i="107" s="1"/>
  <c r="M51" i="103"/>
  <c r="O51" i="107" s="1"/>
  <c r="M52" i="103"/>
  <c r="O52" i="107" s="1"/>
  <c r="M53" i="103"/>
  <c r="O53" i="107" s="1"/>
  <c r="M54" i="103"/>
  <c r="O54" i="107" s="1"/>
  <c r="M55" i="103"/>
  <c r="O55" i="107" s="1"/>
  <c r="M57" i="103"/>
  <c r="O57" i="107" s="1"/>
  <c r="M58" i="103"/>
  <c r="O58" i="107" s="1"/>
  <c r="M59" i="103"/>
  <c r="O59" i="107" s="1"/>
  <c r="M61" i="103"/>
  <c r="O61" i="107" s="1"/>
  <c r="Y33" i="105"/>
  <c r="M7" i="9"/>
  <c r="N7" i="9" s="1"/>
  <c r="M8" i="9"/>
  <c r="N8" i="9" s="1"/>
  <c r="M9" i="9"/>
  <c r="N9" i="9" s="1"/>
  <c r="M10" i="9"/>
  <c r="N10" i="9" s="1"/>
  <c r="M11" i="9"/>
  <c r="N11" i="9" s="1"/>
  <c r="M12" i="9"/>
  <c r="N12" i="9" s="1"/>
  <c r="M13" i="9"/>
  <c r="N13" i="9" s="1"/>
  <c r="M14" i="9"/>
  <c r="N14" i="9" s="1"/>
  <c r="M15" i="9"/>
  <c r="N15" i="9" s="1"/>
  <c r="M16" i="9"/>
  <c r="N16" i="9" s="1"/>
  <c r="M17" i="9"/>
  <c r="N17" i="9" s="1"/>
  <c r="M18" i="9"/>
  <c r="N18" i="9" s="1"/>
  <c r="M19" i="9"/>
  <c r="N19" i="9" s="1"/>
  <c r="M20" i="9"/>
  <c r="N20" i="9" s="1"/>
  <c r="M21" i="9"/>
  <c r="N21" i="9" s="1"/>
  <c r="M22" i="9"/>
  <c r="N22" i="9" s="1"/>
  <c r="M23" i="9"/>
  <c r="N23" i="9" s="1"/>
  <c r="M24" i="9"/>
  <c r="N24" i="9" s="1"/>
  <c r="M25" i="9"/>
  <c r="N25" i="9" s="1"/>
  <c r="M26" i="9"/>
  <c r="N26" i="9" s="1"/>
  <c r="M27" i="9"/>
  <c r="N27" i="9" s="1"/>
  <c r="M28" i="9"/>
  <c r="N28" i="9" s="1"/>
  <c r="M29" i="9"/>
  <c r="N29" i="9" s="1"/>
  <c r="M30" i="9"/>
  <c r="N30" i="9" s="1"/>
  <c r="M31" i="9"/>
  <c r="N31" i="9" s="1"/>
  <c r="M32" i="9"/>
  <c r="N32" i="9" s="1"/>
  <c r="M34" i="9"/>
  <c r="N34" i="9" s="1"/>
  <c r="M35" i="9"/>
  <c r="N35" i="9" s="1"/>
  <c r="M36" i="9"/>
  <c r="N36" i="9" s="1"/>
  <c r="M37" i="9"/>
  <c r="N37" i="9" s="1"/>
  <c r="M38" i="9"/>
  <c r="N38" i="9" s="1"/>
  <c r="M39" i="9"/>
  <c r="N39" i="9" s="1"/>
  <c r="M40" i="9"/>
  <c r="N40" i="9" s="1"/>
  <c r="M41" i="9"/>
  <c r="N41" i="9" s="1"/>
  <c r="M42" i="9"/>
  <c r="N42" i="9" s="1"/>
  <c r="M43" i="9"/>
  <c r="N43" i="9" s="1"/>
  <c r="M44" i="9"/>
  <c r="N44" i="9" s="1"/>
  <c r="M45" i="9"/>
  <c r="N45" i="9" s="1"/>
  <c r="M46" i="9"/>
  <c r="N46" i="9" s="1"/>
  <c r="M47" i="9"/>
  <c r="N47" i="9" s="1"/>
  <c r="M48" i="9"/>
  <c r="N48" i="9" s="1"/>
  <c r="M49" i="9"/>
  <c r="N49" i="9" s="1"/>
  <c r="M50" i="9"/>
  <c r="N50" i="9" s="1"/>
  <c r="M51" i="9"/>
  <c r="N51" i="9" s="1"/>
  <c r="M52" i="9"/>
  <c r="N52" i="9" s="1"/>
  <c r="M53" i="9"/>
  <c r="N53" i="9" s="1"/>
  <c r="M54" i="9"/>
  <c r="N54" i="9" s="1"/>
  <c r="M55" i="9"/>
  <c r="N55" i="9" s="1"/>
  <c r="M57" i="9"/>
  <c r="N57" i="9" s="1"/>
  <c r="M58" i="9"/>
  <c r="N58" i="9" s="1"/>
  <c r="M59" i="9"/>
  <c r="N59" i="9" s="1"/>
  <c r="H33" i="105"/>
  <c r="I33" i="105"/>
  <c r="J33" i="105"/>
  <c r="M33" i="105"/>
  <c r="N33" i="105"/>
  <c r="O33" i="105"/>
  <c r="P33" i="105"/>
  <c r="Q33" i="105"/>
  <c r="R33" i="105"/>
  <c r="S33" i="105"/>
  <c r="G33" i="105"/>
  <c r="Y7" i="105"/>
  <c r="Y8" i="105"/>
  <c r="Y9" i="105"/>
  <c r="Y10" i="105"/>
  <c r="Y11" i="105"/>
  <c r="Y12" i="105"/>
  <c r="Y13" i="105"/>
  <c r="Y14" i="105"/>
  <c r="Y15" i="105"/>
  <c r="Y16" i="105"/>
  <c r="Y17" i="105"/>
  <c r="Y18" i="105"/>
  <c r="Y19" i="105"/>
  <c r="Y20" i="105"/>
  <c r="Y21" i="105"/>
  <c r="Y22" i="105"/>
  <c r="Y23" i="105"/>
  <c r="Y24" i="105"/>
  <c r="Y25" i="105"/>
  <c r="Y26" i="105"/>
  <c r="Y27" i="105"/>
  <c r="Y28" i="105"/>
  <c r="Y29" i="105"/>
  <c r="Y30" i="105"/>
  <c r="Y31" i="105"/>
  <c r="Y32" i="105"/>
  <c r="Y34" i="105"/>
  <c r="Y35" i="105"/>
  <c r="Y36" i="105"/>
  <c r="Y37" i="105"/>
  <c r="Y38" i="105"/>
  <c r="Y39" i="105"/>
  <c r="Y40" i="105"/>
  <c r="Y41" i="105"/>
  <c r="Y42" i="105"/>
  <c r="Y43" i="105"/>
  <c r="Y44" i="105"/>
  <c r="Y45" i="105"/>
  <c r="Y46" i="105"/>
  <c r="Y47" i="105"/>
  <c r="Y48" i="105"/>
  <c r="Y49" i="105"/>
  <c r="Y50" i="105"/>
  <c r="Y51" i="105"/>
  <c r="Y52" i="105"/>
  <c r="Y53" i="105"/>
  <c r="Y54" i="105"/>
  <c r="Y55" i="105"/>
  <c r="Y57" i="105"/>
  <c r="Y58" i="105"/>
  <c r="Y59" i="105"/>
  <c r="Y61" i="105"/>
  <c r="Y6" i="105"/>
  <c r="R59" i="104" l="1"/>
  <c r="T59" i="104" s="1"/>
  <c r="Q59" i="78"/>
  <c r="R54" i="104"/>
  <c r="T54" i="104" s="1"/>
  <c r="Q54" i="78"/>
  <c r="R50" i="104"/>
  <c r="T50" i="104" s="1"/>
  <c r="Q50" i="78"/>
  <c r="R46" i="104"/>
  <c r="T46" i="104" s="1"/>
  <c r="Q46" i="78"/>
  <c r="R42" i="104"/>
  <c r="T42" i="104" s="1"/>
  <c r="Q42" i="78"/>
  <c r="R38" i="104"/>
  <c r="T38" i="104" s="1"/>
  <c r="Q38" i="78"/>
  <c r="R34" i="104"/>
  <c r="T34" i="104" s="1"/>
  <c r="Q34" i="78"/>
  <c r="R29" i="104"/>
  <c r="T29" i="104" s="1"/>
  <c r="Q29" i="78"/>
  <c r="R25" i="104"/>
  <c r="T25" i="104" s="1"/>
  <c r="Q25" i="78"/>
  <c r="R21" i="104"/>
  <c r="T21" i="104" s="1"/>
  <c r="Q21" i="78"/>
  <c r="R17" i="104"/>
  <c r="T17" i="104" s="1"/>
  <c r="Q17" i="78"/>
  <c r="R13" i="104"/>
  <c r="T13" i="104" s="1"/>
  <c r="Q13" i="78"/>
  <c r="R9" i="104"/>
  <c r="T9" i="104" s="1"/>
  <c r="Q9" i="78"/>
  <c r="O9" i="107"/>
  <c r="P54" i="107"/>
  <c r="W54" i="105" s="1"/>
  <c r="R58" i="104"/>
  <c r="T58" i="104" s="1"/>
  <c r="Q58" i="78"/>
  <c r="R53" i="104"/>
  <c r="T53" i="104" s="1"/>
  <c r="Q53" i="78"/>
  <c r="R49" i="104"/>
  <c r="T49" i="104" s="1"/>
  <c r="Q49" i="78"/>
  <c r="R45" i="104"/>
  <c r="T45" i="104" s="1"/>
  <c r="Q45" i="78"/>
  <c r="R41" i="104"/>
  <c r="T41" i="104" s="1"/>
  <c r="Q41" i="78"/>
  <c r="R37" i="104"/>
  <c r="T37" i="104" s="1"/>
  <c r="Q37" i="78"/>
  <c r="R32" i="104"/>
  <c r="T32" i="104" s="1"/>
  <c r="Q32" i="78"/>
  <c r="R28" i="104"/>
  <c r="T28" i="104" s="1"/>
  <c r="Q28" i="78"/>
  <c r="R24" i="104"/>
  <c r="T24" i="104" s="1"/>
  <c r="Q24" i="78"/>
  <c r="R20" i="104"/>
  <c r="T20" i="104" s="1"/>
  <c r="Q20" i="78"/>
  <c r="R16" i="104"/>
  <c r="T16" i="104" s="1"/>
  <c r="Q16" i="78"/>
  <c r="R12" i="104"/>
  <c r="T12" i="104" s="1"/>
  <c r="Q12" i="78"/>
  <c r="R8" i="104"/>
  <c r="T8" i="104" s="1"/>
  <c r="Q8" i="78"/>
  <c r="R57" i="104"/>
  <c r="T57" i="104" s="1"/>
  <c r="Q57" i="78"/>
  <c r="R52" i="104"/>
  <c r="T52" i="104" s="1"/>
  <c r="Q52" i="78"/>
  <c r="R48" i="104"/>
  <c r="T48" i="104" s="1"/>
  <c r="Q48" i="78"/>
  <c r="R44" i="104"/>
  <c r="T44" i="104" s="1"/>
  <c r="Q44" i="78"/>
  <c r="R40" i="104"/>
  <c r="T40" i="104" s="1"/>
  <c r="Q40" i="78"/>
  <c r="R36" i="104"/>
  <c r="T36" i="104" s="1"/>
  <c r="Q36" i="78"/>
  <c r="R31" i="104"/>
  <c r="T31" i="104" s="1"/>
  <c r="Q31" i="78"/>
  <c r="R27" i="104"/>
  <c r="T27" i="104" s="1"/>
  <c r="Q27" i="78"/>
  <c r="R23" i="104"/>
  <c r="T23" i="104" s="1"/>
  <c r="Q23" i="78"/>
  <c r="R19" i="104"/>
  <c r="T19" i="104" s="1"/>
  <c r="Q19" i="78"/>
  <c r="R15" i="104"/>
  <c r="T15" i="104" s="1"/>
  <c r="Q15" i="78"/>
  <c r="R11" i="104"/>
  <c r="T11" i="104" s="1"/>
  <c r="Q11" i="78"/>
  <c r="R7" i="104"/>
  <c r="T7" i="104" s="1"/>
  <c r="Q7" i="78"/>
  <c r="O33" i="111"/>
  <c r="R61" i="104"/>
  <c r="T61" i="104" s="1"/>
  <c r="Q61" i="78"/>
  <c r="R55" i="104"/>
  <c r="T55" i="104" s="1"/>
  <c r="Q55" i="78"/>
  <c r="R51" i="104"/>
  <c r="T51" i="104" s="1"/>
  <c r="Q51" i="78"/>
  <c r="R47" i="104"/>
  <c r="T47" i="104" s="1"/>
  <c r="Q47" i="78"/>
  <c r="R43" i="104"/>
  <c r="T43" i="104" s="1"/>
  <c r="Q43" i="78"/>
  <c r="R39" i="104"/>
  <c r="T39" i="104" s="1"/>
  <c r="Q39" i="78"/>
  <c r="R35" i="104"/>
  <c r="T35" i="104" s="1"/>
  <c r="Q35" i="78"/>
  <c r="R30" i="104"/>
  <c r="T30" i="104" s="1"/>
  <c r="Q30" i="78"/>
  <c r="R26" i="104"/>
  <c r="T26" i="104" s="1"/>
  <c r="Q26" i="78"/>
  <c r="R22" i="104"/>
  <c r="T22" i="104" s="1"/>
  <c r="Q22" i="78"/>
  <c r="R18" i="104"/>
  <c r="T18" i="104" s="1"/>
  <c r="Q18" i="78"/>
  <c r="R14" i="104"/>
  <c r="T14" i="104" s="1"/>
  <c r="Q14" i="78"/>
  <c r="R10" i="104"/>
  <c r="T10" i="104" s="1"/>
  <c r="Q10" i="78"/>
  <c r="P55" i="107"/>
  <c r="W55" i="105" s="1"/>
  <c r="P33" i="111"/>
  <c r="P59" i="107"/>
  <c r="W59" i="105" s="1"/>
  <c r="O10" i="107"/>
  <c r="K63" i="107"/>
  <c r="G63" i="107"/>
  <c r="L63" i="107"/>
  <c r="L67" i="107" s="1"/>
  <c r="H63" i="107"/>
  <c r="D63" i="107"/>
  <c r="J63" i="107"/>
  <c r="J67" i="107" s="1"/>
  <c r="F63" i="107"/>
  <c r="M63" i="107"/>
  <c r="I63" i="107"/>
  <c r="E63" i="107"/>
  <c r="L56" i="104"/>
  <c r="R56" i="104" s="1"/>
  <c r="T56" i="104" s="1"/>
  <c r="O8" i="107"/>
  <c r="P61" i="107"/>
  <c r="W61" i="105" s="1"/>
  <c r="P58" i="107"/>
  <c r="W58" i="105" s="1"/>
  <c r="O11" i="107"/>
  <c r="O7" i="107"/>
  <c r="I63" i="104"/>
  <c r="H63" i="104"/>
  <c r="P28" i="107"/>
  <c r="W28" i="105" s="1"/>
  <c r="P24" i="107"/>
  <c r="W24" i="105" s="1"/>
  <c r="P20" i="107"/>
  <c r="W20" i="105" s="1"/>
  <c r="P16" i="107"/>
  <c r="W16" i="105" s="1"/>
  <c r="P12" i="107"/>
  <c r="W12" i="105" s="1"/>
  <c r="P8" i="107"/>
  <c r="W8" i="105" s="1"/>
  <c r="G63" i="104"/>
  <c r="W51" i="105"/>
  <c r="W43" i="105"/>
  <c r="W35" i="105"/>
  <c r="L62" i="104"/>
  <c r="R62" i="104" s="1"/>
  <c r="T62" i="104" s="1"/>
  <c r="J63" i="104"/>
  <c r="L60" i="104"/>
  <c r="R60" i="104" s="1"/>
  <c r="T60" i="104" s="1"/>
  <c r="N33" i="103"/>
  <c r="P53" i="107"/>
  <c r="W53" i="105" s="1"/>
  <c r="P49" i="107"/>
  <c r="W49" i="105" s="1"/>
  <c r="P45" i="107"/>
  <c r="W45" i="105" s="1"/>
  <c r="P41" i="107"/>
  <c r="W41" i="105" s="1"/>
  <c r="P37" i="107"/>
  <c r="W37" i="105" s="1"/>
  <c r="D63" i="104"/>
  <c r="L33" i="104"/>
  <c r="W25" i="105"/>
  <c r="W17" i="105"/>
  <c r="W9" i="105"/>
  <c r="W31" i="105"/>
  <c r="W27" i="105"/>
  <c r="W23" i="105"/>
  <c r="W19" i="105"/>
  <c r="W15" i="105"/>
  <c r="W11" i="105"/>
  <c r="W34" i="105"/>
  <c r="W7" i="105"/>
  <c r="I44" i="7"/>
  <c r="J44" i="7"/>
  <c r="H67" i="107" l="1"/>
  <c r="R33" i="104"/>
  <c r="T33" i="104" s="1"/>
  <c r="Q33" i="78"/>
  <c r="F67" i="107"/>
  <c r="D67" i="107"/>
  <c r="D27" i="110"/>
  <c r="C13" i="110"/>
  <c r="I13" i="109"/>
  <c r="H13" i="109"/>
  <c r="P7" i="108"/>
  <c r="P8" i="108"/>
  <c r="P9" i="108"/>
  <c r="P10" i="108"/>
  <c r="P11" i="108"/>
  <c r="P12" i="108"/>
  <c r="P13" i="108"/>
  <c r="P14" i="108"/>
  <c r="P15" i="108"/>
  <c r="P16" i="108"/>
  <c r="P17" i="108"/>
  <c r="P18" i="108"/>
  <c r="P19" i="108"/>
  <c r="P20" i="108"/>
  <c r="P21" i="108"/>
  <c r="P22" i="108"/>
  <c r="P23" i="108"/>
  <c r="P24" i="108"/>
  <c r="P25" i="108"/>
  <c r="P26" i="108"/>
  <c r="P27" i="108"/>
  <c r="P28" i="108"/>
  <c r="P29" i="108"/>
  <c r="P30" i="108"/>
  <c r="P31" i="108"/>
  <c r="P32" i="108"/>
  <c r="P34" i="108"/>
  <c r="P35" i="108"/>
  <c r="P36" i="108"/>
  <c r="P37" i="108"/>
  <c r="P38" i="108"/>
  <c r="P39" i="108"/>
  <c r="P40" i="108"/>
  <c r="P41" i="108"/>
  <c r="P42" i="108"/>
  <c r="P43" i="108"/>
  <c r="P44" i="108"/>
  <c r="P45" i="108"/>
  <c r="P46" i="108"/>
  <c r="P47" i="108"/>
  <c r="P48" i="108"/>
  <c r="P49" i="108"/>
  <c r="P50" i="108"/>
  <c r="P51" i="108"/>
  <c r="P52" i="108"/>
  <c r="P53" i="108"/>
  <c r="P54" i="108"/>
  <c r="P55" i="108"/>
  <c r="P57" i="108"/>
  <c r="P58" i="108"/>
  <c r="P59" i="108"/>
  <c r="P61" i="108"/>
  <c r="O7" i="108"/>
  <c r="O8" i="108"/>
  <c r="O9" i="108"/>
  <c r="O10" i="108"/>
  <c r="O11" i="108"/>
  <c r="O12" i="108"/>
  <c r="O13" i="108"/>
  <c r="O14" i="108"/>
  <c r="O15" i="108"/>
  <c r="O16" i="108"/>
  <c r="O17" i="108"/>
  <c r="O18" i="108"/>
  <c r="O19" i="108"/>
  <c r="O20" i="108"/>
  <c r="O21" i="108"/>
  <c r="O22" i="108"/>
  <c r="O23" i="108"/>
  <c r="O24" i="108"/>
  <c r="O25" i="108"/>
  <c r="O26" i="108"/>
  <c r="O27" i="108"/>
  <c r="O28" i="108"/>
  <c r="O29" i="108"/>
  <c r="O30" i="108"/>
  <c r="O31" i="108"/>
  <c r="O32" i="108"/>
  <c r="O34" i="108"/>
  <c r="O35" i="108"/>
  <c r="O36" i="108"/>
  <c r="O37" i="108"/>
  <c r="O38" i="108"/>
  <c r="O39" i="108"/>
  <c r="O40" i="108"/>
  <c r="O41" i="108"/>
  <c r="O42" i="108"/>
  <c r="O43" i="108"/>
  <c r="O44" i="108"/>
  <c r="O45" i="108"/>
  <c r="O46" i="108"/>
  <c r="O47" i="108"/>
  <c r="O48" i="108"/>
  <c r="O49" i="108"/>
  <c r="O50" i="108"/>
  <c r="O51" i="108"/>
  <c r="O52" i="108"/>
  <c r="O53" i="108"/>
  <c r="O54" i="108"/>
  <c r="O55" i="108"/>
  <c r="O57" i="108"/>
  <c r="O58" i="108"/>
  <c r="O59" i="108"/>
  <c r="O61" i="108"/>
  <c r="U7" i="105"/>
  <c r="V7" i="105"/>
  <c r="X7" i="105" s="1"/>
  <c r="U8" i="105"/>
  <c r="V8" i="105"/>
  <c r="X8" i="105" s="1"/>
  <c r="U9" i="105"/>
  <c r="V9" i="105"/>
  <c r="X9" i="105" s="1"/>
  <c r="U10" i="105"/>
  <c r="V10" i="105"/>
  <c r="X10" i="105" s="1"/>
  <c r="U11" i="105"/>
  <c r="V11" i="105"/>
  <c r="X11" i="105" s="1"/>
  <c r="U12" i="105"/>
  <c r="U13" i="105"/>
  <c r="V13" i="105"/>
  <c r="X13" i="105" s="1"/>
  <c r="U14" i="105"/>
  <c r="V14" i="105"/>
  <c r="X14" i="105" s="1"/>
  <c r="U15" i="105"/>
  <c r="V15" i="105"/>
  <c r="X15" i="105" s="1"/>
  <c r="U16" i="105"/>
  <c r="V16" i="105"/>
  <c r="X16" i="105" s="1"/>
  <c r="U17" i="105"/>
  <c r="V17" i="105"/>
  <c r="X17" i="105" s="1"/>
  <c r="U18" i="105"/>
  <c r="U19" i="105"/>
  <c r="V19" i="105"/>
  <c r="X19" i="105" s="1"/>
  <c r="U20" i="105"/>
  <c r="V20" i="105"/>
  <c r="X20" i="105" s="1"/>
  <c r="U21" i="105"/>
  <c r="V21" i="105"/>
  <c r="X21" i="105" s="1"/>
  <c r="U22" i="105"/>
  <c r="U23" i="105"/>
  <c r="V23" i="105"/>
  <c r="X23" i="105" s="1"/>
  <c r="U24" i="105"/>
  <c r="U25" i="105"/>
  <c r="V25" i="105"/>
  <c r="X25" i="105" s="1"/>
  <c r="U26" i="105"/>
  <c r="V26" i="105"/>
  <c r="X26" i="105" s="1"/>
  <c r="U27" i="105"/>
  <c r="E27" i="15" s="1"/>
  <c r="U28" i="105"/>
  <c r="U29" i="105"/>
  <c r="V29" i="105"/>
  <c r="X29" i="105" s="1"/>
  <c r="U30" i="105"/>
  <c r="V30" i="105"/>
  <c r="X30" i="105" s="1"/>
  <c r="U31" i="105"/>
  <c r="V31" i="105"/>
  <c r="X31" i="105" s="1"/>
  <c r="U32" i="105"/>
  <c r="V32" i="105"/>
  <c r="U34" i="105"/>
  <c r="V34" i="105"/>
  <c r="X34" i="105" s="1"/>
  <c r="U35" i="105"/>
  <c r="U36" i="105"/>
  <c r="V36" i="105"/>
  <c r="X36" i="105" s="1"/>
  <c r="U37" i="105"/>
  <c r="V37" i="105"/>
  <c r="X37" i="105" s="1"/>
  <c r="U38" i="105"/>
  <c r="V38" i="105"/>
  <c r="X38" i="105" s="1"/>
  <c r="U39" i="105"/>
  <c r="V39" i="105"/>
  <c r="X39" i="105" s="1"/>
  <c r="U40" i="105"/>
  <c r="V40" i="105"/>
  <c r="X40" i="105" s="1"/>
  <c r="U41" i="105"/>
  <c r="V41" i="105"/>
  <c r="X41" i="105" s="1"/>
  <c r="U42" i="105"/>
  <c r="U43" i="105"/>
  <c r="V43" i="105"/>
  <c r="X43" i="105" s="1"/>
  <c r="U44" i="105"/>
  <c r="V44" i="105"/>
  <c r="X44" i="105" s="1"/>
  <c r="U45" i="105"/>
  <c r="V45" i="105"/>
  <c r="X45" i="105" s="1"/>
  <c r="U46" i="105"/>
  <c r="V46" i="105"/>
  <c r="X46" i="105" s="1"/>
  <c r="U47" i="105"/>
  <c r="V47" i="105"/>
  <c r="X47" i="105" s="1"/>
  <c r="U48" i="105"/>
  <c r="V48" i="105"/>
  <c r="X48" i="105" s="1"/>
  <c r="U49" i="105"/>
  <c r="V49" i="105"/>
  <c r="X49" i="105" s="1"/>
  <c r="U50" i="105"/>
  <c r="U51" i="105"/>
  <c r="V51" i="105"/>
  <c r="X51" i="105" s="1"/>
  <c r="U52" i="105"/>
  <c r="V52" i="105"/>
  <c r="U53" i="105"/>
  <c r="V53" i="105"/>
  <c r="X53" i="105" s="1"/>
  <c r="U54" i="105"/>
  <c r="V54" i="105"/>
  <c r="X54" i="105" s="1"/>
  <c r="U55" i="105"/>
  <c r="V55" i="105"/>
  <c r="X55" i="105" s="1"/>
  <c r="U57" i="105"/>
  <c r="V57" i="105"/>
  <c r="U58" i="105"/>
  <c r="V58" i="105"/>
  <c r="X58" i="105" s="1"/>
  <c r="U59" i="105"/>
  <c r="U61" i="105"/>
  <c r="V61" i="105"/>
  <c r="X61" i="105" s="1"/>
  <c r="L33" i="105"/>
  <c r="K33" i="105" l="1"/>
  <c r="K56" i="105"/>
  <c r="K62" i="105"/>
  <c r="L60" i="105"/>
  <c r="K60" i="105"/>
  <c r="V22" i="105"/>
  <c r="X22" i="105" s="1"/>
  <c r="L56" i="105"/>
  <c r="L62" i="105"/>
  <c r="P7" i="93"/>
  <c r="R7" i="109" s="1"/>
  <c r="P8" i="93"/>
  <c r="R8" i="109" s="1"/>
  <c r="P9" i="93"/>
  <c r="R9" i="109" s="1"/>
  <c r="P10" i="93"/>
  <c r="R10" i="109" s="1"/>
  <c r="P11" i="93"/>
  <c r="R11" i="109" s="1"/>
  <c r="P12" i="93"/>
  <c r="R12" i="109" s="1"/>
  <c r="P13" i="93"/>
  <c r="R13" i="109" s="1"/>
  <c r="P14" i="93"/>
  <c r="R14" i="109" s="1"/>
  <c r="P15" i="93"/>
  <c r="P16" i="93"/>
  <c r="R16" i="109" s="1"/>
  <c r="P17" i="93"/>
  <c r="R17" i="109" s="1"/>
  <c r="P18" i="93"/>
  <c r="R18" i="109" s="1"/>
  <c r="P19" i="93"/>
  <c r="R19" i="109" s="1"/>
  <c r="P20" i="93"/>
  <c r="R20" i="109" s="1"/>
  <c r="P21" i="93"/>
  <c r="R21" i="109" s="1"/>
  <c r="P22" i="93"/>
  <c r="R22" i="109" s="1"/>
  <c r="P23" i="93"/>
  <c r="R23" i="109" s="1"/>
  <c r="P24" i="93"/>
  <c r="R24" i="109" s="1"/>
  <c r="P25" i="93"/>
  <c r="R25" i="109" s="1"/>
  <c r="P26" i="93"/>
  <c r="R26" i="109" s="1"/>
  <c r="P27" i="93"/>
  <c r="R27" i="109" s="1"/>
  <c r="P28" i="93"/>
  <c r="R28" i="109" s="1"/>
  <c r="P29" i="93"/>
  <c r="R29" i="109" s="1"/>
  <c r="P30" i="93"/>
  <c r="R30" i="109" s="1"/>
  <c r="P31" i="93"/>
  <c r="R31" i="109" s="1"/>
  <c r="P35" i="93"/>
  <c r="R35" i="109" s="1"/>
  <c r="O35" i="93"/>
  <c r="Q35" i="109" s="1"/>
  <c r="P46" i="93"/>
  <c r="R46" i="109" s="1"/>
  <c r="P47" i="93"/>
  <c r="R47" i="109" s="1"/>
  <c r="P48" i="93"/>
  <c r="R48" i="109" s="1"/>
  <c r="P49" i="93"/>
  <c r="R49" i="109" s="1"/>
  <c r="P50" i="93"/>
  <c r="R50" i="109" s="1"/>
  <c r="P51" i="93"/>
  <c r="R51" i="109" s="1"/>
  <c r="P52" i="93"/>
  <c r="R52" i="109" s="1"/>
  <c r="O46" i="93"/>
  <c r="Q46" i="109" s="1"/>
  <c r="O47" i="93"/>
  <c r="Q47" i="109" s="1"/>
  <c r="O48" i="93"/>
  <c r="Q48" i="109" s="1"/>
  <c r="O49" i="93"/>
  <c r="Q49" i="109" s="1"/>
  <c r="O50" i="93"/>
  <c r="Q50" i="109" s="1"/>
  <c r="O51" i="93"/>
  <c r="Q51" i="109" s="1"/>
  <c r="O52" i="93"/>
  <c r="Q52" i="109" s="1"/>
  <c r="L63" i="105" l="1"/>
  <c r="L68" i="105" s="1"/>
  <c r="R15" i="109"/>
  <c r="K63" i="105"/>
  <c r="V12" i="105" l="1"/>
  <c r="X12" i="105" s="1"/>
  <c r="D62" i="111" l="1"/>
  <c r="C62" i="111"/>
  <c r="D60" i="111"/>
  <c r="C60" i="111"/>
  <c r="C56" i="111"/>
  <c r="D33" i="111"/>
  <c r="C33" i="111"/>
  <c r="O34" i="115"/>
  <c r="P34" i="115"/>
  <c r="O35" i="115"/>
  <c r="P35" i="115"/>
  <c r="O36" i="115"/>
  <c r="P36" i="115"/>
  <c r="O37" i="115"/>
  <c r="P37" i="115"/>
  <c r="O38" i="115"/>
  <c r="P38" i="115"/>
  <c r="O39" i="115"/>
  <c r="P39" i="115"/>
  <c r="O40" i="115"/>
  <c r="P40" i="115"/>
  <c r="O41" i="115"/>
  <c r="P41" i="115"/>
  <c r="O42" i="115"/>
  <c r="P42" i="115"/>
  <c r="O43" i="115"/>
  <c r="P43" i="115"/>
  <c r="O44" i="115"/>
  <c r="P44" i="115"/>
  <c r="O45" i="115"/>
  <c r="P45" i="115"/>
  <c r="O46" i="115"/>
  <c r="P46" i="115"/>
  <c r="O47" i="115"/>
  <c r="P47" i="115"/>
  <c r="O48" i="115"/>
  <c r="P48" i="115"/>
  <c r="O49" i="115"/>
  <c r="P49" i="115"/>
  <c r="O50" i="115"/>
  <c r="P50" i="115"/>
  <c r="O51" i="115"/>
  <c r="P51" i="115"/>
  <c r="O52" i="115"/>
  <c r="P52" i="115"/>
  <c r="O53" i="115"/>
  <c r="P53" i="115"/>
  <c r="O54" i="115"/>
  <c r="P54" i="115"/>
  <c r="O55" i="115"/>
  <c r="P55" i="115"/>
  <c r="O57" i="115"/>
  <c r="P57" i="115"/>
  <c r="O58" i="115"/>
  <c r="P58" i="115"/>
  <c r="O59" i="115"/>
  <c r="P59" i="115"/>
  <c r="O61" i="115"/>
  <c r="O62" i="115" s="1"/>
  <c r="P61" i="115"/>
  <c r="P62" i="115" s="1"/>
  <c r="O7" i="115"/>
  <c r="P7" i="115"/>
  <c r="O8" i="115"/>
  <c r="P8" i="115"/>
  <c r="O9" i="115"/>
  <c r="P9" i="115"/>
  <c r="O10" i="115"/>
  <c r="P10" i="115"/>
  <c r="O11" i="115"/>
  <c r="P11" i="115"/>
  <c r="O12" i="115"/>
  <c r="P12" i="115"/>
  <c r="O13" i="115"/>
  <c r="P13" i="115"/>
  <c r="O14" i="115"/>
  <c r="P14" i="115"/>
  <c r="O15" i="115"/>
  <c r="P15" i="115"/>
  <c r="O16" i="115"/>
  <c r="P16" i="115"/>
  <c r="O17" i="115"/>
  <c r="P17" i="115"/>
  <c r="O18" i="115"/>
  <c r="P18" i="115"/>
  <c r="O19" i="115"/>
  <c r="P19" i="115"/>
  <c r="O20" i="115"/>
  <c r="P20" i="115"/>
  <c r="O21" i="115"/>
  <c r="P21" i="115"/>
  <c r="O22" i="115"/>
  <c r="P22" i="115"/>
  <c r="O23" i="115"/>
  <c r="P23" i="115"/>
  <c r="O24" i="115"/>
  <c r="P24" i="115"/>
  <c r="O25" i="115"/>
  <c r="P25" i="115"/>
  <c r="O26" i="115"/>
  <c r="P26" i="115"/>
  <c r="O27" i="115"/>
  <c r="P27" i="115"/>
  <c r="O28" i="115"/>
  <c r="P28" i="115"/>
  <c r="O29" i="115"/>
  <c r="P29" i="115"/>
  <c r="O30" i="115"/>
  <c r="P30" i="115"/>
  <c r="O31" i="115"/>
  <c r="P31" i="115"/>
  <c r="O32" i="115"/>
  <c r="P32" i="115"/>
  <c r="P6" i="115"/>
  <c r="O6" i="115"/>
  <c r="D62" i="115"/>
  <c r="E62" i="115"/>
  <c r="F62" i="115"/>
  <c r="G62" i="115"/>
  <c r="H62" i="115"/>
  <c r="I62" i="115"/>
  <c r="J62" i="115"/>
  <c r="K62" i="115"/>
  <c r="L62" i="115"/>
  <c r="M62" i="115"/>
  <c r="N62" i="115"/>
  <c r="C62" i="115"/>
  <c r="D60" i="115"/>
  <c r="E60" i="115"/>
  <c r="F60" i="115"/>
  <c r="G60" i="115"/>
  <c r="H60" i="115"/>
  <c r="I60" i="115"/>
  <c r="J60" i="115"/>
  <c r="K60" i="115"/>
  <c r="L60" i="115"/>
  <c r="M60" i="115"/>
  <c r="N60" i="115"/>
  <c r="C60" i="115"/>
  <c r="D56" i="115"/>
  <c r="E56" i="115"/>
  <c r="F56" i="115"/>
  <c r="G56" i="115"/>
  <c r="H56" i="115"/>
  <c r="I56" i="115"/>
  <c r="J56" i="115"/>
  <c r="K56" i="115"/>
  <c r="L56" i="115"/>
  <c r="M56" i="115"/>
  <c r="N56" i="115"/>
  <c r="C56" i="115"/>
  <c r="D33" i="115"/>
  <c r="E33" i="115"/>
  <c r="E63" i="115" s="1"/>
  <c r="E68" i="115" s="1"/>
  <c r="F33" i="115"/>
  <c r="G33" i="115"/>
  <c r="H33" i="115"/>
  <c r="I33" i="115"/>
  <c r="J33" i="115"/>
  <c r="K33" i="115"/>
  <c r="L33" i="115"/>
  <c r="M33" i="115"/>
  <c r="M63" i="115" s="1"/>
  <c r="M68" i="115" s="1"/>
  <c r="N33" i="115"/>
  <c r="C33" i="115"/>
  <c r="O7" i="114"/>
  <c r="I7" i="106" s="1"/>
  <c r="P7" i="114"/>
  <c r="J7" i="106" s="1"/>
  <c r="O8" i="114"/>
  <c r="I8" i="106" s="1"/>
  <c r="P8" i="114"/>
  <c r="J8" i="106" s="1"/>
  <c r="O9" i="114"/>
  <c r="I9" i="106" s="1"/>
  <c r="P9" i="114"/>
  <c r="J9" i="106" s="1"/>
  <c r="O10" i="114"/>
  <c r="I10" i="106" s="1"/>
  <c r="P10" i="114"/>
  <c r="J10" i="106" s="1"/>
  <c r="O11" i="114"/>
  <c r="I11" i="106" s="1"/>
  <c r="P11" i="114"/>
  <c r="J11" i="106" s="1"/>
  <c r="O12" i="114"/>
  <c r="I12" i="106" s="1"/>
  <c r="P12" i="114"/>
  <c r="J12" i="106" s="1"/>
  <c r="O13" i="114"/>
  <c r="I13" i="106" s="1"/>
  <c r="P13" i="114"/>
  <c r="J13" i="106" s="1"/>
  <c r="O14" i="114"/>
  <c r="I14" i="106" s="1"/>
  <c r="P14" i="114"/>
  <c r="J14" i="106" s="1"/>
  <c r="O15" i="114"/>
  <c r="I15" i="106" s="1"/>
  <c r="P15" i="114"/>
  <c r="J15" i="106" s="1"/>
  <c r="O16" i="114"/>
  <c r="I16" i="106" s="1"/>
  <c r="P16" i="114"/>
  <c r="J16" i="106" s="1"/>
  <c r="O17" i="114"/>
  <c r="I17" i="106" s="1"/>
  <c r="P17" i="114"/>
  <c r="J17" i="106" s="1"/>
  <c r="O18" i="114"/>
  <c r="I18" i="106" s="1"/>
  <c r="P18" i="114"/>
  <c r="J18" i="106" s="1"/>
  <c r="O19" i="114"/>
  <c r="I19" i="106" s="1"/>
  <c r="P19" i="114"/>
  <c r="J19" i="106" s="1"/>
  <c r="O20" i="114"/>
  <c r="I20" i="106" s="1"/>
  <c r="P20" i="114"/>
  <c r="J20" i="106" s="1"/>
  <c r="O21" i="114"/>
  <c r="I21" i="106" s="1"/>
  <c r="P21" i="114"/>
  <c r="J21" i="106" s="1"/>
  <c r="O22" i="114"/>
  <c r="I22" i="106" s="1"/>
  <c r="P22" i="114"/>
  <c r="J22" i="106" s="1"/>
  <c r="O23" i="114"/>
  <c r="I23" i="106" s="1"/>
  <c r="P23" i="114"/>
  <c r="J23" i="106" s="1"/>
  <c r="O24" i="114"/>
  <c r="I24" i="106" s="1"/>
  <c r="P24" i="114"/>
  <c r="J24" i="106" s="1"/>
  <c r="O25" i="114"/>
  <c r="I25" i="106" s="1"/>
  <c r="P25" i="114"/>
  <c r="J25" i="106" s="1"/>
  <c r="O26" i="114"/>
  <c r="I26" i="106" s="1"/>
  <c r="P26" i="114"/>
  <c r="J26" i="106" s="1"/>
  <c r="O27" i="114"/>
  <c r="I27" i="106" s="1"/>
  <c r="P27" i="114"/>
  <c r="J27" i="106" s="1"/>
  <c r="O28" i="114"/>
  <c r="I28" i="106" s="1"/>
  <c r="P28" i="114"/>
  <c r="J28" i="106" s="1"/>
  <c r="O29" i="114"/>
  <c r="I29" i="106" s="1"/>
  <c r="P29" i="114"/>
  <c r="J29" i="106" s="1"/>
  <c r="O30" i="114"/>
  <c r="I30" i="106" s="1"/>
  <c r="P30" i="114"/>
  <c r="J30" i="106" s="1"/>
  <c r="O31" i="114"/>
  <c r="I31" i="106" s="1"/>
  <c r="P31" i="114"/>
  <c r="J31" i="106" s="1"/>
  <c r="O32" i="114"/>
  <c r="I32" i="106" s="1"/>
  <c r="P32" i="114"/>
  <c r="J32" i="106" s="1"/>
  <c r="O34" i="114"/>
  <c r="I34" i="106" s="1"/>
  <c r="P34" i="114"/>
  <c r="J34" i="106" s="1"/>
  <c r="O35" i="114"/>
  <c r="I35" i="106" s="1"/>
  <c r="P35" i="114"/>
  <c r="J35" i="106" s="1"/>
  <c r="O36" i="114"/>
  <c r="I36" i="106" s="1"/>
  <c r="P36" i="114"/>
  <c r="J36" i="106" s="1"/>
  <c r="O37" i="114"/>
  <c r="I37" i="106" s="1"/>
  <c r="P37" i="114"/>
  <c r="J37" i="106" s="1"/>
  <c r="O38" i="114"/>
  <c r="I38" i="106" s="1"/>
  <c r="P38" i="114"/>
  <c r="J38" i="106" s="1"/>
  <c r="O39" i="114"/>
  <c r="I39" i="106" s="1"/>
  <c r="P39" i="114"/>
  <c r="J39" i="106" s="1"/>
  <c r="O40" i="114"/>
  <c r="I40" i="106" s="1"/>
  <c r="P40" i="114"/>
  <c r="J40" i="106" s="1"/>
  <c r="O41" i="114"/>
  <c r="I41" i="106" s="1"/>
  <c r="P41" i="114"/>
  <c r="J41" i="106" s="1"/>
  <c r="O42" i="114"/>
  <c r="I42" i="106" s="1"/>
  <c r="P42" i="114"/>
  <c r="J42" i="106" s="1"/>
  <c r="O43" i="114"/>
  <c r="I43" i="106" s="1"/>
  <c r="P43" i="114"/>
  <c r="J43" i="106" s="1"/>
  <c r="O44" i="114"/>
  <c r="I44" i="106" s="1"/>
  <c r="P44" i="114"/>
  <c r="J44" i="106" s="1"/>
  <c r="O45" i="114"/>
  <c r="I45" i="106" s="1"/>
  <c r="P45" i="114"/>
  <c r="J45" i="106" s="1"/>
  <c r="O46" i="114"/>
  <c r="I46" i="106" s="1"/>
  <c r="P46" i="114"/>
  <c r="J46" i="106" s="1"/>
  <c r="O47" i="114"/>
  <c r="I47" i="106" s="1"/>
  <c r="P47" i="114"/>
  <c r="J47" i="106" s="1"/>
  <c r="O48" i="114"/>
  <c r="I48" i="106" s="1"/>
  <c r="P48" i="114"/>
  <c r="J48" i="106" s="1"/>
  <c r="O49" i="114"/>
  <c r="I49" i="106" s="1"/>
  <c r="P49" i="114"/>
  <c r="J49" i="106" s="1"/>
  <c r="O50" i="114"/>
  <c r="I50" i="106" s="1"/>
  <c r="Q50" i="106" s="1"/>
  <c r="P50" i="114"/>
  <c r="J50" i="106" s="1"/>
  <c r="R50" i="106" s="1"/>
  <c r="W50" i="106" s="1"/>
  <c r="O51" i="114"/>
  <c r="I51" i="106" s="1"/>
  <c r="Q51" i="106" s="1"/>
  <c r="P51" i="114"/>
  <c r="J51" i="106" s="1"/>
  <c r="R51" i="106" s="1"/>
  <c r="W51" i="106" s="1"/>
  <c r="O52" i="114"/>
  <c r="I52" i="106" s="1"/>
  <c r="P52" i="114"/>
  <c r="J52" i="106" s="1"/>
  <c r="O53" i="114"/>
  <c r="I53" i="106" s="1"/>
  <c r="P53" i="114"/>
  <c r="J53" i="106" s="1"/>
  <c r="O54" i="114"/>
  <c r="I54" i="106" s="1"/>
  <c r="P54" i="114"/>
  <c r="J54" i="106" s="1"/>
  <c r="O55" i="114"/>
  <c r="I55" i="106" s="1"/>
  <c r="P55" i="114"/>
  <c r="J55" i="106" s="1"/>
  <c r="O57" i="114"/>
  <c r="I57" i="106" s="1"/>
  <c r="P57" i="114"/>
  <c r="J57" i="106" s="1"/>
  <c r="O58" i="114"/>
  <c r="I58" i="106" s="1"/>
  <c r="P58" i="114"/>
  <c r="J58" i="106" s="1"/>
  <c r="O59" i="114"/>
  <c r="I59" i="106" s="1"/>
  <c r="P59" i="114"/>
  <c r="J59" i="106" s="1"/>
  <c r="O61" i="114"/>
  <c r="I61" i="106" s="1"/>
  <c r="P61" i="114"/>
  <c r="J61" i="106" s="1"/>
  <c r="P6" i="114"/>
  <c r="J6" i="106" s="1"/>
  <c r="O6" i="114"/>
  <c r="I6" i="106" s="1"/>
  <c r="D62" i="114"/>
  <c r="E62" i="114"/>
  <c r="F62" i="114"/>
  <c r="G62" i="114"/>
  <c r="H62" i="114"/>
  <c r="I62" i="114"/>
  <c r="J62" i="114"/>
  <c r="K62" i="114"/>
  <c r="L62" i="114"/>
  <c r="M62" i="114"/>
  <c r="N62" i="114"/>
  <c r="C62" i="114"/>
  <c r="D60" i="114"/>
  <c r="E60" i="114"/>
  <c r="F60" i="114"/>
  <c r="G60" i="114"/>
  <c r="H60" i="114"/>
  <c r="I60" i="114"/>
  <c r="J60" i="114"/>
  <c r="K60" i="114"/>
  <c r="L60" i="114"/>
  <c r="M60" i="114"/>
  <c r="N60" i="114"/>
  <c r="C60" i="114"/>
  <c r="D56" i="114"/>
  <c r="E56" i="114"/>
  <c r="F56" i="114"/>
  <c r="G56" i="114"/>
  <c r="H56" i="114"/>
  <c r="I56" i="114"/>
  <c r="J56" i="114"/>
  <c r="K56" i="114"/>
  <c r="L56" i="114"/>
  <c r="M56" i="114"/>
  <c r="N56" i="114"/>
  <c r="C56" i="114"/>
  <c r="D33" i="114"/>
  <c r="D63" i="114" s="1"/>
  <c r="E33" i="114"/>
  <c r="E63" i="114" s="1"/>
  <c r="F33" i="114"/>
  <c r="G33" i="114"/>
  <c r="G63" i="114" s="1"/>
  <c r="H33" i="114"/>
  <c r="H63" i="114" s="1"/>
  <c r="I33" i="114"/>
  <c r="J33" i="114"/>
  <c r="J63" i="114" s="1"/>
  <c r="K33" i="114"/>
  <c r="L33" i="114"/>
  <c r="L63" i="114" s="1"/>
  <c r="M33" i="114"/>
  <c r="M63" i="114" s="1"/>
  <c r="N33" i="114"/>
  <c r="N63" i="114" s="1"/>
  <c r="C33" i="114"/>
  <c r="D62" i="113"/>
  <c r="E62" i="113"/>
  <c r="F62" i="113"/>
  <c r="G62" i="113"/>
  <c r="H62" i="113"/>
  <c r="I62" i="113"/>
  <c r="J62" i="113"/>
  <c r="C62" i="113"/>
  <c r="D60" i="113"/>
  <c r="E60" i="113"/>
  <c r="F60" i="113"/>
  <c r="G60" i="113"/>
  <c r="H60" i="113"/>
  <c r="I60" i="113"/>
  <c r="J60" i="113"/>
  <c r="C60" i="113"/>
  <c r="D56" i="113"/>
  <c r="E56" i="113"/>
  <c r="F56" i="113"/>
  <c r="G56" i="113"/>
  <c r="H56" i="113"/>
  <c r="I56" i="113"/>
  <c r="J56" i="113"/>
  <c r="C56" i="113"/>
  <c r="D33" i="113"/>
  <c r="E33" i="113"/>
  <c r="F33" i="113"/>
  <c r="G33" i="113"/>
  <c r="H33" i="113"/>
  <c r="I33" i="113"/>
  <c r="J33" i="113"/>
  <c r="C33" i="113"/>
  <c r="D62" i="118"/>
  <c r="E62" i="118"/>
  <c r="F62" i="118"/>
  <c r="G62" i="118"/>
  <c r="H62" i="118"/>
  <c r="C62" i="118"/>
  <c r="D60" i="118"/>
  <c r="E60" i="118"/>
  <c r="F60" i="118"/>
  <c r="G60" i="118"/>
  <c r="H60" i="118"/>
  <c r="C60" i="118"/>
  <c r="D33" i="118"/>
  <c r="E33" i="118"/>
  <c r="F33" i="118"/>
  <c r="G33" i="118"/>
  <c r="H33" i="118"/>
  <c r="C33" i="118"/>
  <c r="D60" i="117"/>
  <c r="E60" i="117"/>
  <c r="F60" i="117"/>
  <c r="C60" i="117"/>
  <c r="D56" i="117"/>
  <c r="E56" i="117"/>
  <c r="F56" i="117"/>
  <c r="C56" i="117"/>
  <c r="D33" i="117"/>
  <c r="E33" i="117"/>
  <c r="F33" i="117"/>
  <c r="F63" i="117" s="1"/>
  <c r="C33" i="117"/>
  <c r="D62" i="116"/>
  <c r="E62" i="116"/>
  <c r="F62" i="116"/>
  <c r="C62" i="116"/>
  <c r="E62" i="106" s="1"/>
  <c r="D60" i="116"/>
  <c r="E60" i="116"/>
  <c r="F60" i="116"/>
  <c r="C60" i="116"/>
  <c r="E60" i="106" s="1"/>
  <c r="D56" i="116"/>
  <c r="E56" i="116"/>
  <c r="F56" i="116"/>
  <c r="C56" i="116"/>
  <c r="E56" i="106" s="1"/>
  <c r="D33" i="116"/>
  <c r="E33" i="116"/>
  <c r="F33" i="116"/>
  <c r="C33" i="116"/>
  <c r="E33" i="106" s="1"/>
  <c r="F33" i="106" l="1"/>
  <c r="F56" i="106"/>
  <c r="F60" i="106"/>
  <c r="F62" i="106"/>
  <c r="E63" i="117"/>
  <c r="D63" i="117"/>
  <c r="C63" i="117"/>
  <c r="G63" i="115"/>
  <c r="G68" i="115" s="1"/>
  <c r="O60" i="115"/>
  <c r="C63" i="114"/>
  <c r="K63" i="114"/>
  <c r="F63" i="114"/>
  <c r="I63" i="114"/>
  <c r="F63" i="116"/>
  <c r="L63" i="115"/>
  <c r="L68" i="115" s="1"/>
  <c r="K63" i="115"/>
  <c r="K68" i="115" s="1"/>
  <c r="J63" i="115"/>
  <c r="J68" i="115" s="1"/>
  <c r="I63" i="115"/>
  <c r="I68" i="115" s="1"/>
  <c r="H63" i="115"/>
  <c r="H68" i="115" s="1"/>
  <c r="D63" i="115"/>
  <c r="D68" i="115" s="1"/>
  <c r="C63" i="115"/>
  <c r="C68" i="115" s="1"/>
  <c r="N63" i="115"/>
  <c r="N68" i="115" s="1"/>
  <c r="F63" i="115"/>
  <c r="F68" i="115" s="1"/>
  <c r="P60" i="115"/>
  <c r="O56" i="115"/>
  <c r="P56" i="115"/>
  <c r="P33" i="114"/>
  <c r="J33" i="106" s="1"/>
  <c r="P60" i="114"/>
  <c r="J60" i="106" s="1"/>
  <c r="P56" i="114"/>
  <c r="J56" i="106" s="1"/>
  <c r="P62" i="114"/>
  <c r="J62" i="106" s="1"/>
  <c r="C63" i="116"/>
  <c r="E63" i="106" s="1"/>
  <c r="E63" i="118"/>
  <c r="O60" i="114"/>
  <c r="I60" i="106" s="1"/>
  <c r="F63" i="118"/>
  <c r="O56" i="114"/>
  <c r="I56" i="106" s="1"/>
  <c r="O62" i="114"/>
  <c r="I62" i="106" s="1"/>
  <c r="O33" i="115"/>
  <c r="O63" i="115" s="1"/>
  <c r="O68" i="115" s="1"/>
  <c r="D63" i="111"/>
  <c r="C63" i="111"/>
  <c r="P33" i="115"/>
  <c r="O33" i="114"/>
  <c r="I33" i="106" s="1"/>
  <c r="J63" i="113"/>
  <c r="I63" i="113"/>
  <c r="H63" i="113"/>
  <c r="G63" i="113"/>
  <c r="F63" i="113"/>
  <c r="E63" i="113"/>
  <c r="C63" i="113"/>
  <c r="D63" i="113"/>
  <c r="D63" i="118"/>
  <c r="H63" i="118"/>
  <c r="G63" i="118"/>
  <c r="C63" i="118"/>
  <c r="E63" i="116"/>
  <c r="D63" i="116"/>
  <c r="F63" i="106" s="1"/>
  <c r="C56" i="77"/>
  <c r="C33" i="77"/>
  <c r="E68" i="113" l="1"/>
  <c r="F70" i="113"/>
  <c r="C63" i="77"/>
  <c r="P63" i="115"/>
  <c r="P68" i="115" s="1"/>
  <c r="O63" i="114"/>
  <c r="I63" i="106" s="1"/>
  <c r="P63" i="114"/>
  <c r="J63" i="106" s="1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7" i="15"/>
  <c r="F58" i="15"/>
  <c r="F59" i="15"/>
  <c r="F61" i="15"/>
  <c r="F6" i="15"/>
  <c r="D62" i="85"/>
  <c r="E62" i="85"/>
  <c r="F62" i="85"/>
  <c r="G62" i="85"/>
  <c r="H62" i="85"/>
  <c r="I62" i="85"/>
  <c r="J62" i="85"/>
  <c r="C62" i="85"/>
  <c r="D60" i="85"/>
  <c r="E60" i="85"/>
  <c r="F60" i="85"/>
  <c r="G60" i="85"/>
  <c r="H60" i="85"/>
  <c r="I60" i="85"/>
  <c r="J60" i="85"/>
  <c r="C60" i="85"/>
  <c r="D56" i="85"/>
  <c r="E56" i="85"/>
  <c r="F56" i="85"/>
  <c r="G56" i="85"/>
  <c r="H56" i="85"/>
  <c r="I56" i="85"/>
  <c r="J56" i="85"/>
  <c r="C56" i="85"/>
  <c r="D33" i="85"/>
  <c r="E33" i="85"/>
  <c r="F33" i="85"/>
  <c r="G33" i="85"/>
  <c r="H33" i="85"/>
  <c r="I33" i="85"/>
  <c r="J33" i="85"/>
  <c r="C33" i="85"/>
  <c r="K7" i="85"/>
  <c r="L7" i="85"/>
  <c r="K8" i="85"/>
  <c r="L8" i="85"/>
  <c r="K9" i="85"/>
  <c r="L9" i="85"/>
  <c r="K10" i="85"/>
  <c r="L10" i="85"/>
  <c r="K11" i="85"/>
  <c r="L11" i="85"/>
  <c r="K12" i="85"/>
  <c r="L12" i="85"/>
  <c r="K13" i="85"/>
  <c r="L13" i="85"/>
  <c r="K14" i="85"/>
  <c r="L14" i="85"/>
  <c r="K15" i="85"/>
  <c r="L15" i="85"/>
  <c r="K16" i="85"/>
  <c r="L16" i="85"/>
  <c r="K17" i="85"/>
  <c r="L17" i="85"/>
  <c r="K18" i="85"/>
  <c r="L18" i="85"/>
  <c r="K19" i="85"/>
  <c r="L19" i="85"/>
  <c r="K20" i="85"/>
  <c r="L20" i="85"/>
  <c r="K21" i="85"/>
  <c r="L21" i="85"/>
  <c r="K22" i="85"/>
  <c r="L22" i="85"/>
  <c r="K23" i="85"/>
  <c r="L23" i="85"/>
  <c r="K24" i="85"/>
  <c r="L24" i="85"/>
  <c r="K25" i="85"/>
  <c r="L25" i="85"/>
  <c r="K26" i="85"/>
  <c r="L26" i="85"/>
  <c r="K27" i="85"/>
  <c r="L27" i="85"/>
  <c r="K28" i="85"/>
  <c r="L28" i="85"/>
  <c r="K29" i="85"/>
  <c r="L29" i="85"/>
  <c r="K30" i="85"/>
  <c r="L30" i="85"/>
  <c r="K31" i="85"/>
  <c r="L31" i="85"/>
  <c r="K32" i="85"/>
  <c r="L32" i="85"/>
  <c r="K34" i="85"/>
  <c r="L34" i="85"/>
  <c r="K35" i="85"/>
  <c r="L35" i="85"/>
  <c r="K36" i="85"/>
  <c r="L36" i="85"/>
  <c r="K37" i="85"/>
  <c r="L37" i="85"/>
  <c r="K38" i="85"/>
  <c r="L38" i="85"/>
  <c r="K39" i="85"/>
  <c r="L39" i="85"/>
  <c r="K40" i="85"/>
  <c r="L40" i="85"/>
  <c r="K41" i="85"/>
  <c r="L41" i="85"/>
  <c r="K42" i="85"/>
  <c r="L42" i="85"/>
  <c r="K43" i="85"/>
  <c r="L43" i="85"/>
  <c r="K44" i="85"/>
  <c r="L44" i="85"/>
  <c r="K45" i="85"/>
  <c r="L45" i="85"/>
  <c r="K46" i="85"/>
  <c r="L46" i="85"/>
  <c r="K47" i="85"/>
  <c r="L47" i="85"/>
  <c r="K48" i="85"/>
  <c r="L48" i="85"/>
  <c r="K49" i="85"/>
  <c r="L49" i="85"/>
  <c r="K50" i="85"/>
  <c r="L50" i="85"/>
  <c r="K51" i="85"/>
  <c r="L51" i="85"/>
  <c r="K52" i="85"/>
  <c r="L52" i="85"/>
  <c r="K53" i="85"/>
  <c r="L53" i="85"/>
  <c r="K54" i="85"/>
  <c r="L54" i="85"/>
  <c r="K55" i="85"/>
  <c r="L55" i="85"/>
  <c r="K57" i="85"/>
  <c r="L57" i="85"/>
  <c r="K58" i="85"/>
  <c r="L58" i="85"/>
  <c r="K59" i="85"/>
  <c r="L59" i="85"/>
  <c r="K61" i="85"/>
  <c r="L61" i="85"/>
  <c r="L6" i="85"/>
  <c r="K6" i="85"/>
  <c r="L62" i="85" l="1"/>
  <c r="O61" i="85"/>
  <c r="K62" i="85"/>
  <c r="H63" i="85"/>
  <c r="H67" i="85" s="1"/>
  <c r="L60" i="85"/>
  <c r="K60" i="85"/>
  <c r="D63" i="85"/>
  <c r="D67" i="85" s="1"/>
  <c r="L56" i="85"/>
  <c r="C63" i="85"/>
  <c r="K56" i="85"/>
  <c r="L33" i="85"/>
  <c r="J63" i="85"/>
  <c r="J67" i="85" s="1"/>
  <c r="F63" i="85"/>
  <c r="F67" i="85" s="1"/>
  <c r="K33" i="85"/>
  <c r="G63" i="85"/>
  <c r="I63" i="85"/>
  <c r="E63" i="85"/>
  <c r="D62" i="78"/>
  <c r="Q62" i="78" s="1"/>
  <c r="E62" i="78"/>
  <c r="F62" i="78"/>
  <c r="G62" i="78"/>
  <c r="H62" i="78"/>
  <c r="I62" i="78"/>
  <c r="J62" i="78"/>
  <c r="K62" i="78"/>
  <c r="L62" i="78"/>
  <c r="C62" i="78"/>
  <c r="D60" i="78"/>
  <c r="Q60" i="78" s="1"/>
  <c r="E60" i="78"/>
  <c r="F60" i="78"/>
  <c r="G60" i="78"/>
  <c r="H60" i="78"/>
  <c r="I60" i="78"/>
  <c r="J60" i="78"/>
  <c r="K60" i="78"/>
  <c r="L60" i="78"/>
  <c r="C60" i="78"/>
  <c r="D56" i="78"/>
  <c r="Q56" i="78" s="1"/>
  <c r="E56" i="78"/>
  <c r="F56" i="78"/>
  <c r="G56" i="78"/>
  <c r="H56" i="78"/>
  <c r="I56" i="78"/>
  <c r="J56" i="78"/>
  <c r="K56" i="78"/>
  <c r="L56" i="78"/>
  <c r="C56" i="78"/>
  <c r="M7" i="78"/>
  <c r="N7" i="78"/>
  <c r="M8" i="78"/>
  <c r="N8" i="78"/>
  <c r="M9" i="78"/>
  <c r="N9" i="78"/>
  <c r="M10" i="78"/>
  <c r="N10" i="78"/>
  <c r="M11" i="78"/>
  <c r="N11" i="78"/>
  <c r="M12" i="78"/>
  <c r="N12" i="78"/>
  <c r="M13" i="78"/>
  <c r="N13" i="78"/>
  <c r="M14" i="78"/>
  <c r="N14" i="78"/>
  <c r="M15" i="78"/>
  <c r="N15" i="78"/>
  <c r="M16" i="78"/>
  <c r="N16" i="78"/>
  <c r="M17" i="78"/>
  <c r="N17" i="78"/>
  <c r="M18" i="78"/>
  <c r="N18" i="78"/>
  <c r="M19" i="78"/>
  <c r="N19" i="78"/>
  <c r="M20" i="78"/>
  <c r="N20" i="78"/>
  <c r="M21" i="78"/>
  <c r="N21" i="78"/>
  <c r="M22" i="78"/>
  <c r="N22" i="78"/>
  <c r="M23" i="78"/>
  <c r="N23" i="78"/>
  <c r="M24" i="78"/>
  <c r="N24" i="78"/>
  <c r="M25" i="78"/>
  <c r="N25" i="78"/>
  <c r="M26" i="78"/>
  <c r="N26" i="78"/>
  <c r="M27" i="78"/>
  <c r="N27" i="78"/>
  <c r="M28" i="78"/>
  <c r="N28" i="78"/>
  <c r="M29" i="78"/>
  <c r="N29" i="78"/>
  <c r="M30" i="78"/>
  <c r="N30" i="78"/>
  <c r="M31" i="78"/>
  <c r="N31" i="78"/>
  <c r="M32" i="78"/>
  <c r="N32" i="78"/>
  <c r="M34" i="78"/>
  <c r="N34" i="78"/>
  <c r="M35" i="78"/>
  <c r="N35" i="78"/>
  <c r="M36" i="78"/>
  <c r="N36" i="78"/>
  <c r="M37" i="78"/>
  <c r="N37" i="78"/>
  <c r="M38" i="78"/>
  <c r="N38" i="78"/>
  <c r="M39" i="78"/>
  <c r="N39" i="78"/>
  <c r="M40" i="78"/>
  <c r="N40" i="78"/>
  <c r="M41" i="78"/>
  <c r="N41" i="78"/>
  <c r="M42" i="78"/>
  <c r="N42" i="78"/>
  <c r="M43" i="78"/>
  <c r="N43" i="78"/>
  <c r="M44" i="78"/>
  <c r="N44" i="78"/>
  <c r="M45" i="78"/>
  <c r="N45" i="78"/>
  <c r="M46" i="78"/>
  <c r="N46" i="78"/>
  <c r="M47" i="78"/>
  <c r="N47" i="78"/>
  <c r="M48" i="78"/>
  <c r="N48" i="78"/>
  <c r="M49" i="78"/>
  <c r="N49" i="78"/>
  <c r="M50" i="78"/>
  <c r="N50" i="78"/>
  <c r="M51" i="78"/>
  <c r="N51" i="78"/>
  <c r="M52" i="78"/>
  <c r="N52" i="78"/>
  <c r="M53" i="78"/>
  <c r="N53" i="78"/>
  <c r="M54" i="78"/>
  <c r="N54" i="78"/>
  <c r="M55" i="78"/>
  <c r="N55" i="78"/>
  <c r="M55" i="85" s="1"/>
  <c r="N55" i="85" s="1"/>
  <c r="M57" i="78"/>
  <c r="N57" i="78"/>
  <c r="M58" i="78"/>
  <c r="N58" i="78"/>
  <c r="M59" i="78"/>
  <c r="N59" i="78"/>
  <c r="M61" i="78"/>
  <c r="N61" i="78"/>
  <c r="N6" i="78"/>
  <c r="M6" i="78"/>
  <c r="W9" i="110"/>
  <c r="W10" i="110"/>
  <c r="W12" i="110"/>
  <c r="W13" i="110"/>
  <c r="W7" i="110"/>
  <c r="X7" i="110"/>
  <c r="Y7" i="110" s="1"/>
  <c r="W8" i="110"/>
  <c r="X8" i="110"/>
  <c r="Y8" i="110" s="1"/>
  <c r="X9" i="110"/>
  <c r="Y9" i="110" s="1"/>
  <c r="X10" i="110"/>
  <c r="W11" i="110"/>
  <c r="X11" i="110"/>
  <c r="Y11" i="110" s="1"/>
  <c r="X12" i="110"/>
  <c r="Y12" i="110" s="1"/>
  <c r="X13" i="110"/>
  <c r="Y13" i="110" s="1"/>
  <c r="W14" i="110"/>
  <c r="X14" i="110"/>
  <c r="Y14" i="110" s="1"/>
  <c r="W15" i="110"/>
  <c r="X15" i="110"/>
  <c r="Y15" i="110" s="1"/>
  <c r="W16" i="110"/>
  <c r="X16" i="110"/>
  <c r="Y16" i="110" s="1"/>
  <c r="W17" i="110"/>
  <c r="X17" i="110"/>
  <c r="Y17" i="110" s="1"/>
  <c r="W18" i="110"/>
  <c r="X18" i="110"/>
  <c r="Y18" i="110" s="1"/>
  <c r="W19" i="110"/>
  <c r="X19" i="110"/>
  <c r="Y19" i="110" s="1"/>
  <c r="W20" i="110"/>
  <c r="X20" i="110"/>
  <c r="Y20" i="110" s="1"/>
  <c r="W21" i="110"/>
  <c r="X21" i="110"/>
  <c r="Y21" i="110" s="1"/>
  <c r="W22" i="110"/>
  <c r="X22" i="110"/>
  <c r="Y22" i="110" s="1"/>
  <c r="W23" i="110"/>
  <c r="X23" i="110"/>
  <c r="Y23" i="110" s="1"/>
  <c r="W24" i="110"/>
  <c r="X24" i="110"/>
  <c r="Y24" i="110" s="1"/>
  <c r="W25" i="110"/>
  <c r="X25" i="110"/>
  <c r="Y25" i="110" s="1"/>
  <c r="W26" i="110"/>
  <c r="X26" i="110"/>
  <c r="Y26" i="110" s="1"/>
  <c r="W27" i="110"/>
  <c r="X27" i="110"/>
  <c r="Y27" i="110" s="1"/>
  <c r="W28" i="110"/>
  <c r="X28" i="110"/>
  <c r="Y28" i="110" s="1"/>
  <c r="W29" i="110"/>
  <c r="X29" i="110"/>
  <c r="Y29" i="110" s="1"/>
  <c r="W30" i="110"/>
  <c r="X30" i="110"/>
  <c r="Y30" i="110" s="1"/>
  <c r="W31" i="110"/>
  <c r="X31" i="110"/>
  <c r="Y31" i="110" s="1"/>
  <c r="W32" i="110"/>
  <c r="X32" i="110"/>
  <c r="Y32" i="110" s="1"/>
  <c r="W34" i="110"/>
  <c r="X34" i="110"/>
  <c r="Y34" i="110" s="1"/>
  <c r="W35" i="110"/>
  <c r="X35" i="110"/>
  <c r="Y35" i="110" s="1"/>
  <c r="W36" i="110"/>
  <c r="X36" i="110"/>
  <c r="W37" i="110"/>
  <c r="X37" i="110"/>
  <c r="W38" i="110"/>
  <c r="X38" i="110"/>
  <c r="W39" i="110"/>
  <c r="X39" i="110"/>
  <c r="Y39" i="110" s="1"/>
  <c r="W40" i="110"/>
  <c r="X40" i="110"/>
  <c r="Y40" i="110" s="1"/>
  <c r="W41" i="110"/>
  <c r="X41" i="110"/>
  <c r="Y41" i="110" s="1"/>
  <c r="W42" i="110"/>
  <c r="X42" i="110"/>
  <c r="Y42" i="110" s="1"/>
  <c r="W43" i="110"/>
  <c r="X43" i="110"/>
  <c r="Y43" i="110" s="1"/>
  <c r="W44" i="110"/>
  <c r="X44" i="110"/>
  <c r="W45" i="110"/>
  <c r="X45" i="110"/>
  <c r="Y45" i="110" s="1"/>
  <c r="W46" i="110"/>
  <c r="X46" i="110"/>
  <c r="Y46" i="110" s="1"/>
  <c r="W47" i="110"/>
  <c r="X47" i="110"/>
  <c r="Y47" i="110" s="1"/>
  <c r="W48" i="110"/>
  <c r="X48" i="110"/>
  <c r="Y48" i="110" s="1"/>
  <c r="W49" i="110"/>
  <c r="X49" i="110"/>
  <c r="Y49" i="110" s="1"/>
  <c r="W50" i="110"/>
  <c r="X50" i="110"/>
  <c r="Y50" i="110" s="1"/>
  <c r="W51" i="110"/>
  <c r="X51" i="110"/>
  <c r="Y51" i="110" s="1"/>
  <c r="W52" i="110"/>
  <c r="X52" i="110"/>
  <c r="W53" i="110"/>
  <c r="X53" i="110"/>
  <c r="W54" i="110"/>
  <c r="X54" i="110"/>
  <c r="W55" i="110"/>
  <c r="X55" i="110"/>
  <c r="Y55" i="110" s="1"/>
  <c r="X57" i="110"/>
  <c r="W58" i="110"/>
  <c r="X58" i="110"/>
  <c r="Y58" i="110" s="1"/>
  <c r="W59" i="110"/>
  <c r="X59" i="110"/>
  <c r="Y59" i="110" s="1"/>
  <c r="W61" i="110"/>
  <c r="W62" i="110" s="1"/>
  <c r="X61" i="110"/>
  <c r="X6" i="110"/>
  <c r="Y6" i="110" s="1"/>
  <c r="W6" i="110"/>
  <c r="D62" i="110"/>
  <c r="E62" i="110"/>
  <c r="F62" i="110"/>
  <c r="G62" i="110"/>
  <c r="H62" i="110"/>
  <c r="I62" i="110"/>
  <c r="J62" i="110"/>
  <c r="K62" i="110"/>
  <c r="L62" i="110"/>
  <c r="O62" i="110"/>
  <c r="P62" i="110"/>
  <c r="Q62" i="110"/>
  <c r="R62" i="110"/>
  <c r="S62" i="110"/>
  <c r="T62" i="110"/>
  <c r="U62" i="110"/>
  <c r="V62" i="110"/>
  <c r="C62" i="110"/>
  <c r="D60" i="110"/>
  <c r="E60" i="110"/>
  <c r="F60" i="110"/>
  <c r="G60" i="110"/>
  <c r="H60" i="110"/>
  <c r="I60" i="110"/>
  <c r="J60" i="110"/>
  <c r="K60" i="110"/>
  <c r="L60" i="110"/>
  <c r="O60" i="110"/>
  <c r="P60" i="110"/>
  <c r="Q60" i="110"/>
  <c r="R60" i="110"/>
  <c r="S60" i="110"/>
  <c r="T60" i="110"/>
  <c r="U60" i="110"/>
  <c r="V60" i="110"/>
  <c r="C60" i="110"/>
  <c r="D56" i="110"/>
  <c r="E56" i="110"/>
  <c r="F56" i="110"/>
  <c r="G56" i="110"/>
  <c r="H56" i="110"/>
  <c r="I56" i="110"/>
  <c r="J56" i="110"/>
  <c r="K56" i="110"/>
  <c r="L56" i="110"/>
  <c r="O56" i="110"/>
  <c r="P56" i="110"/>
  <c r="Q56" i="110"/>
  <c r="R56" i="110"/>
  <c r="S56" i="110"/>
  <c r="T56" i="110"/>
  <c r="U56" i="110"/>
  <c r="V56" i="110"/>
  <c r="C56" i="110"/>
  <c r="D33" i="110"/>
  <c r="E33" i="110"/>
  <c r="F33" i="110"/>
  <c r="G33" i="110"/>
  <c r="H33" i="110"/>
  <c r="I33" i="110"/>
  <c r="J33" i="110"/>
  <c r="K33" i="110"/>
  <c r="L33" i="110"/>
  <c r="O33" i="110"/>
  <c r="P33" i="110"/>
  <c r="Q33" i="110"/>
  <c r="R33" i="110"/>
  <c r="S33" i="110"/>
  <c r="T33" i="110"/>
  <c r="U33" i="110"/>
  <c r="V33" i="110"/>
  <c r="C33" i="110"/>
  <c r="K63" i="85" l="1"/>
  <c r="K67" i="85" s="1"/>
  <c r="J63" i="78"/>
  <c r="J68" i="78" s="1"/>
  <c r="F63" i="78"/>
  <c r="F68" i="78" s="1"/>
  <c r="G59" i="15"/>
  <c r="M59" i="85"/>
  <c r="N59" i="85" s="1"/>
  <c r="P59" i="85" s="1"/>
  <c r="G57" i="15"/>
  <c r="M57" i="85"/>
  <c r="N57" i="85" s="1"/>
  <c r="G54" i="15"/>
  <c r="M54" i="85"/>
  <c r="N54" i="85" s="1"/>
  <c r="G52" i="15"/>
  <c r="M52" i="85"/>
  <c r="N52" i="85" s="1"/>
  <c r="G50" i="15"/>
  <c r="M50" i="85"/>
  <c r="N50" i="85" s="1"/>
  <c r="G48" i="15"/>
  <c r="M48" i="85"/>
  <c r="N48" i="85" s="1"/>
  <c r="G44" i="15"/>
  <c r="M44" i="85"/>
  <c r="N44" i="85" s="1"/>
  <c r="G42" i="15"/>
  <c r="M42" i="85"/>
  <c r="N42" i="85" s="1"/>
  <c r="G40" i="15"/>
  <c r="M40" i="85"/>
  <c r="N40" i="85" s="1"/>
  <c r="G38" i="15"/>
  <c r="M38" i="85"/>
  <c r="N38" i="85" s="1"/>
  <c r="G36" i="15"/>
  <c r="M36" i="85"/>
  <c r="N36" i="85" s="1"/>
  <c r="G34" i="15"/>
  <c r="M34" i="85"/>
  <c r="N34" i="85" s="1"/>
  <c r="G31" i="15"/>
  <c r="M31" i="85"/>
  <c r="N31" i="85" s="1"/>
  <c r="P31" i="85" s="1"/>
  <c r="G29" i="15"/>
  <c r="M29" i="85"/>
  <c r="N29" i="85" s="1"/>
  <c r="G25" i="15"/>
  <c r="M25" i="85"/>
  <c r="N25" i="85" s="1"/>
  <c r="G23" i="15"/>
  <c r="M23" i="85"/>
  <c r="N23" i="85" s="1"/>
  <c r="G21" i="15"/>
  <c r="M21" i="85"/>
  <c r="N21" i="85" s="1"/>
  <c r="G19" i="15"/>
  <c r="M19" i="85"/>
  <c r="N19" i="85" s="1"/>
  <c r="G17" i="15"/>
  <c r="M17" i="85"/>
  <c r="N17" i="85" s="1"/>
  <c r="G15" i="15"/>
  <c r="M15" i="85"/>
  <c r="N15" i="85" s="1"/>
  <c r="G13" i="15"/>
  <c r="M13" i="85"/>
  <c r="N13" i="85" s="1"/>
  <c r="G11" i="15"/>
  <c r="M11" i="85"/>
  <c r="N11" i="85" s="1"/>
  <c r="G9" i="15"/>
  <c r="M9" i="85"/>
  <c r="N9" i="85" s="1"/>
  <c r="G7" i="15"/>
  <c r="M7" i="85"/>
  <c r="N7" i="85" s="1"/>
  <c r="G6" i="15"/>
  <c r="M6" i="85"/>
  <c r="G58" i="15"/>
  <c r="M58" i="85"/>
  <c r="N58" i="85" s="1"/>
  <c r="G53" i="15"/>
  <c r="M53" i="85"/>
  <c r="N53" i="85" s="1"/>
  <c r="G51" i="15"/>
  <c r="M51" i="85"/>
  <c r="N51" i="85" s="1"/>
  <c r="G49" i="15"/>
  <c r="M49" i="85"/>
  <c r="N49" i="85" s="1"/>
  <c r="G47" i="15"/>
  <c r="M47" i="85"/>
  <c r="N47" i="85" s="1"/>
  <c r="G45" i="15"/>
  <c r="M45" i="85"/>
  <c r="N45" i="85" s="1"/>
  <c r="G43" i="15"/>
  <c r="M43" i="85"/>
  <c r="N43" i="85" s="1"/>
  <c r="G41" i="15"/>
  <c r="M41" i="85"/>
  <c r="N41" i="85" s="1"/>
  <c r="G39" i="15"/>
  <c r="M39" i="85"/>
  <c r="N39" i="85" s="1"/>
  <c r="G37" i="15"/>
  <c r="M37" i="85"/>
  <c r="N37" i="85" s="1"/>
  <c r="G35" i="15"/>
  <c r="M35" i="85"/>
  <c r="N35" i="85" s="1"/>
  <c r="G32" i="15"/>
  <c r="M32" i="85"/>
  <c r="N32" i="85" s="1"/>
  <c r="P32" i="85" s="1"/>
  <c r="G30" i="15"/>
  <c r="M30" i="85"/>
  <c r="N30" i="85" s="1"/>
  <c r="G28" i="15"/>
  <c r="M28" i="85"/>
  <c r="N28" i="85" s="1"/>
  <c r="G26" i="15"/>
  <c r="M26" i="85"/>
  <c r="N26" i="85" s="1"/>
  <c r="G24" i="15"/>
  <c r="M24" i="85"/>
  <c r="N24" i="85" s="1"/>
  <c r="G22" i="15"/>
  <c r="M22" i="85"/>
  <c r="N22" i="85" s="1"/>
  <c r="G20" i="15"/>
  <c r="M20" i="85"/>
  <c r="N20" i="85" s="1"/>
  <c r="G18" i="15"/>
  <c r="M18" i="85"/>
  <c r="N18" i="85" s="1"/>
  <c r="G14" i="15"/>
  <c r="M14" i="85"/>
  <c r="N14" i="85" s="1"/>
  <c r="G12" i="15"/>
  <c r="M12" i="85"/>
  <c r="N12" i="85" s="1"/>
  <c r="G10" i="15"/>
  <c r="M10" i="85"/>
  <c r="N10" i="85" s="1"/>
  <c r="G8" i="15"/>
  <c r="M8" i="85"/>
  <c r="N8" i="85" s="1"/>
  <c r="K63" i="78"/>
  <c r="L63" i="85"/>
  <c r="L67" i="85" s="1"/>
  <c r="M60" i="110"/>
  <c r="G61" i="15"/>
  <c r="M61" i="85"/>
  <c r="N61" i="85" s="1"/>
  <c r="P61" i="85" s="1"/>
  <c r="O60" i="85"/>
  <c r="O62" i="85"/>
  <c r="G46" i="15"/>
  <c r="M46" i="85"/>
  <c r="N46" i="85" s="1"/>
  <c r="G27" i="15"/>
  <c r="M27" i="85"/>
  <c r="N27" i="85" s="1"/>
  <c r="G16" i="15"/>
  <c r="M16" i="85"/>
  <c r="N16" i="85" s="1"/>
  <c r="Y57" i="110"/>
  <c r="X60" i="110"/>
  <c r="Y60" i="110" s="1"/>
  <c r="W57" i="110"/>
  <c r="W60" i="110" s="1"/>
  <c r="G63" i="78"/>
  <c r="N60" i="110"/>
  <c r="N56" i="78"/>
  <c r="M56" i="85" s="1"/>
  <c r="N56" i="85" s="1"/>
  <c r="G55" i="15"/>
  <c r="N60" i="78"/>
  <c r="M60" i="85" s="1"/>
  <c r="N60" i="85" s="1"/>
  <c r="M62" i="78"/>
  <c r="J63" i="110"/>
  <c r="D63" i="110"/>
  <c r="M33" i="78"/>
  <c r="M56" i="78"/>
  <c r="I63" i="78"/>
  <c r="E63" i="78"/>
  <c r="M60" i="78"/>
  <c r="I63" i="110"/>
  <c r="E63" i="110"/>
  <c r="C63" i="110"/>
  <c r="W56" i="110"/>
  <c r="X56" i="110"/>
  <c r="Y56" i="110" s="1"/>
  <c r="Y38" i="110"/>
  <c r="N56" i="110"/>
  <c r="M56" i="110"/>
  <c r="N33" i="110"/>
  <c r="H63" i="110"/>
  <c r="G63" i="110"/>
  <c r="M33" i="110"/>
  <c r="N62" i="78"/>
  <c r="M62" i="85" s="1"/>
  <c r="N62" i="85" s="1"/>
  <c r="C63" i="78"/>
  <c r="L63" i="78"/>
  <c r="L68" i="78" s="1"/>
  <c r="H63" i="78"/>
  <c r="H68" i="78" s="1"/>
  <c r="D63" i="78"/>
  <c r="N33" i="78"/>
  <c r="M33" i="85" s="1"/>
  <c r="N33" i="85" s="1"/>
  <c r="P33" i="85" s="1"/>
  <c r="X33" i="110"/>
  <c r="Y33" i="110" s="1"/>
  <c r="W33" i="110"/>
  <c r="P63" i="110"/>
  <c r="S63" i="110"/>
  <c r="O63" i="110"/>
  <c r="Y10" i="110"/>
  <c r="U63" i="110"/>
  <c r="T63" i="110"/>
  <c r="V63" i="110"/>
  <c r="R63" i="110"/>
  <c r="Q63" i="110"/>
  <c r="L63" i="110"/>
  <c r="K63" i="110"/>
  <c r="M62" i="110"/>
  <c r="X62" i="110"/>
  <c r="N62" i="110"/>
  <c r="F63" i="110"/>
  <c r="D68" i="78" l="1"/>
  <c r="P62" i="85"/>
  <c r="N63" i="110"/>
  <c r="P60" i="85"/>
  <c r="G33" i="15"/>
  <c r="M63" i="78"/>
  <c r="M68" i="78" s="1"/>
  <c r="M63" i="110"/>
  <c r="W63" i="110"/>
  <c r="N63" i="78"/>
  <c r="N68" i="78" s="1"/>
  <c r="X63" i="110"/>
  <c r="Y63" i="110" s="1"/>
  <c r="L29" i="109"/>
  <c r="L30" i="109"/>
  <c r="L31" i="109"/>
  <c r="L32" i="109"/>
  <c r="L34" i="109"/>
  <c r="L38" i="109"/>
  <c r="L39" i="109"/>
  <c r="L40" i="109"/>
  <c r="L41" i="109"/>
  <c r="L42" i="109"/>
  <c r="L43" i="109"/>
  <c r="L45" i="109"/>
  <c r="L46" i="109"/>
  <c r="L47" i="109"/>
  <c r="L48" i="109"/>
  <c r="L49" i="109"/>
  <c r="L50" i="109"/>
  <c r="L51" i="109"/>
  <c r="L52" i="109"/>
  <c r="L55" i="109"/>
  <c r="L57" i="109"/>
  <c r="L58" i="109"/>
  <c r="L59" i="109"/>
  <c r="G31" i="109"/>
  <c r="G32" i="109"/>
  <c r="G34" i="109"/>
  <c r="G35" i="109"/>
  <c r="G38" i="109"/>
  <c r="G39" i="109"/>
  <c r="G40" i="109"/>
  <c r="G41" i="109"/>
  <c r="G42" i="109"/>
  <c r="G43" i="109"/>
  <c r="G45" i="109"/>
  <c r="G46" i="109"/>
  <c r="G47" i="109"/>
  <c r="G48" i="109"/>
  <c r="G49" i="109"/>
  <c r="G50" i="109"/>
  <c r="G51" i="109"/>
  <c r="G52" i="109"/>
  <c r="G55" i="109"/>
  <c r="G57" i="109"/>
  <c r="G58" i="109"/>
  <c r="G59" i="109"/>
  <c r="G61" i="109"/>
  <c r="D60" i="109"/>
  <c r="E60" i="109"/>
  <c r="F60" i="109"/>
  <c r="H60" i="109"/>
  <c r="I60" i="109"/>
  <c r="J60" i="109"/>
  <c r="K60" i="109"/>
  <c r="M60" i="109"/>
  <c r="N60" i="109"/>
  <c r="C60" i="109"/>
  <c r="D56" i="109"/>
  <c r="E56" i="109"/>
  <c r="F56" i="109"/>
  <c r="H56" i="109"/>
  <c r="I56" i="109"/>
  <c r="J56" i="109"/>
  <c r="K56" i="109"/>
  <c r="M56" i="109"/>
  <c r="N56" i="109"/>
  <c r="C56" i="109"/>
  <c r="D33" i="109"/>
  <c r="E33" i="109"/>
  <c r="F33" i="109"/>
  <c r="H33" i="109"/>
  <c r="I33" i="109"/>
  <c r="J33" i="109"/>
  <c r="K33" i="109"/>
  <c r="M33" i="109"/>
  <c r="N33" i="109"/>
  <c r="C33" i="109"/>
  <c r="L7" i="109"/>
  <c r="L8" i="109"/>
  <c r="L9" i="109"/>
  <c r="L10" i="109"/>
  <c r="L12" i="109"/>
  <c r="L13" i="109"/>
  <c r="L14" i="109"/>
  <c r="L15" i="109"/>
  <c r="L16" i="109"/>
  <c r="L17" i="109"/>
  <c r="L18" i="109"/>
  <c r="L19" i="109"/>
  <c r="L20" i="109"/>
  <c r="L21" i="109"/>
  <c r="L22" i="109"/>
  <c r="L23" i="109"/>
  <c r="L24" i="109"/>
  <c r="L25" i="109"/>
  <c r="L26" i="109"/>
  <c r="L27" i="109"/>
  <c r="L28" i="109"/>
  <c r="L6" i="109"/>
  <c r="G7" i="109"/>
  <c r="G8" i="109"/>
  <c r="G9" i="109"/>
  <c r="G10" i="109"/>
  <c r="G12" i="109"/>
  <c r="G13" i="109"/>
  <c r="G14" i="109"/>
  <c r="G15" i="109"/>
  <c r="G16" i="109"/>
  <c r="G17" i="109"/>
  <c r="G18" i="109"/>
  <c r="G19" i="109"/>
  <c r="G20" i="109"/>
  <c r="G21" i="109"/>
  <c r="G22" i="109"/>
  <c r="G23" i="109"/>
  <c r="G24" i="109"/>
  <c r="G25" i="109"/>
  <c r="G26" i="109"/>
  <c r="G27" i="109"/>
  <c r="G28" i="109"/>
  <c r="G29" i="109"/>
  <c r="G30" i="109"/>
  <c r="G6" i="109"/>
  <c r="H63" i="109" l="1"/>
  <c r="C63" i="109"/>
  <c r="D63" i="109"/>
  <c r="L60" i="109"/>
  <c r="G60" i="109"/>
  <c r="O63" i="85"/>
  <c r="M63" i="85"/>
  <c r="N63" i="85" s="1"/>
  <c r="G56" i="109"/>
  <c r="L33" i="109"/>
  <c r="N63" i="109"/>
  <c r="M63" i="109"/>
  <c r="I63" i="109"/>
  <c r="L56" i="109"/>
  <c r="J63" i="109"/>
  <c r="K63" i="109"/>
  <c r="F63" i="109"/>
  <c r="E63" i="109"/>
  <c r="G33" i="109"/>
  <c r="Q7" i="71"/>
  <c r="Q8" i="71"/>
  <c r="Q9" i="71"/>
  <c r="Q10" i="71"/>
  <c r="Q11" i="71"/>
  <c r="Q12" i="71"/>
  <c r="Q13" i="71"/>
  <c r="Q14" i="71"/>
  <c r="Q15" i="71"/>
  <c r="Q16" i="71"/>
  <c r="Q17" i="71"/>
  <c r="Q18" i="71"/>
  <c r="Q19" i="71"/>
  <c r="Q20" i="71"/>
  <c r="Q21" i="71"/>
  <c r="Q22" i="71"/>
  <c r="Q23" i="71"/>
  <c r="Q24" i="71"/>
  <c r="Q25" i="71"/>
  <c r="Q26" i="71"/>
  <c r="Q27" i="71"/>
  <c r="Q28" i="71"/>
  <c r="Q29" i="71"/>
  <c r="Q30" i="71"/>
  <c r="Q31" i="71"/>
  <c r="Q32" i="71"/>
  <c r="Q34" i="71"/>
  <c r="Q35" i="71"/>
  <c r="Q38" i="71"/>
  <c r="Q39" i="71"/>
  <c r="Q40" i="71"/>
  <c r="Q41" i="71"/>
  <c r="Q42" i="71"/>
  <c r="Q43" i="71"/>
  <c r="Q45" i="71"/>
  <c r="Q46" i="71"/>
  <c r="Q47" i="71"/>
  <c r="Q48" i="71"/>
  <c r="Q49" i="71"/>
  <c r="Q50" i="71"/>
  <c r="Q51" i="71"/>
  <c r="Q52" i="71"/>
  <c r="Q55" i="71"/>
  <c r="Q57" i="71"/>
  <c r="Q58" i="71"/>
  <c r="Q59" i="71"/>
  <c r="Q61" i="71"/>
  <c r="Q6" i="71"/>
  <c r="L34" i="71"/>
  <c r="L35" i="71"/>
  <c r="L38" i="71"/>
  <c r="L39" i="71"/>
  <c r="L40" i="71"/>
  <c r="L41" i="71"/>
  <c r="L42" i="71"/>
  <c r="L43" i="71"/>
  <c r="L45" i="71"/>
  <c r="L46" i="71"/>
  <c r="L47" i="71"/>
  <c r="L48" i="71"/>
  <c r="L49" i="71"/>
  <c r="L50" i="71"/>
  <c r="L51" i="71"/>
  <c r="L52" i="71"/>
  <c r="L55" i="71"/>
  <c r="L57" i="71"/>
  <c r="L58" i="71"/>
  <c r="L59" i="71"/>
  <c r="L61" i="71"/>
  <c r="L7" i="71"/>
  <c r="L8" i="71"/>
  <c r="L9" i="71"/>
  <c r="L10" i="71"/>
  <c r="L11" i="71"/>
  <c r="L12" i="71"/>
  <c r="L13" i="71"/>
  <c r="L14" i="71"/>
  <c r="L15" i="71"/>
  <c r="L16" i="71"/>
  <c r="L17" i="71"/>
  <c r="L18" i="71"/>
  <c r="L19" i="71"/>
  <c r="L20" i="71"/>
  <c r="L21" i="71"/>
  <c r="L22" i="71"/>
  <c r="L23" i="71"/>
  <c r="L24" i="71"/>
  <c r="L25" i="71"/>
  <c r="L26" i="71"/>
  <c r="L27" i="71"/>
  <c r="L28" i="71"/>
  <c r="L29" i="71"/>
  <c r="L30" i="71"/>
  <c r="L31" i="71"/>
  <c r="L32" i="71"/>
  <c r="L6" i="71"/>
  <c r="G34" i="71"/>
  <c r="G42" i="71"/>
  <c r="G8" i="71"/>
  <c r="G9" i="71"/>
  <c r="G12" i="71"/>
  <c r="G13" i="71"/>
  <c r="G14" i="71"/>
  <c r="G19" i="71"/>
  <c r="G21" i="71"/>
  <c r="G27" i="71"/>
  <c r="G29" i="71"/>
  <c r="G30" i="71"/>
  <c r="G6" i="71"/>
  <c r="D62" i="71"/>
  <c r="H62" i="71"/>
  <c r="I62" i="71"/>
  <c r="M62" i="71"/>
  <c r="N62" i="71"/>
  <c r="D60" i="71"/>
  <c r="H60" i="71"/>
  <c r="I60" i="71"/>
  <c r="M60" i="71"/>
  <c r="N60" i="71"/>
  <c r="D33" i="71"/>
  <c r="H33" i="71"/>
  <c r="I33" i="71"/>
  <c r="M33" i="71"/>
  <c r="N33" i="71"/>
  <c r="D56" i="71"/>
  <c r="G56" i="71" s="1"/>
  <c r="H56" i="71"/>
  <c r="I56" i="71"/>
  <c r="M56" i="71"/>
  <c r="N56" i="71"/>
  <c r="C62" i="71"/>
  <c r="C60" i="71"/>
  <c r="C56" i="71"/>
  <c r="C33" i="71"/>
  <c r="H63" i="71" l="1"/>
  <c r="N63" i="71"/>
  <c r="L56" i="71"/>
  <c r="Q60" i="71"/>
  <c r="L60" i="71"/>
  <c r="C63" i="71"/>
  <c r="M63" i="71"/>
  <c r="L63" i="109"/>
  <c r="Q62" i="71"/>
  <c r="L62" i="71"/>
  <c r="P63" i="85"/>
  <c r="D63" i="71"/>
  <c r="Q33" i="71"/>
  <c r="L33" i="71"/>
  <c r="G33" i="71"/>
  <c r="G63" i="109"/>
  <c r="I63" i="71"/>
  <c r="Q56" i="71"/>
  <c r="P32" i="93"/>
  <c r="R32" i="109" s="1"/>
  <c r="P34" i="93"/>
  <c r="R34" i="109" s="1"/>
  <c r="P36" i="93"/>
  <c r="R36" i="109" s="1"/>
  <c r="P37" i="93"/>
  <c r="R37" i="109" s="1"/>
  <c r="P38" i="93"/>
  <c r="R38" i="109" s="1"/>
  <c r="P39" i="93"/>
  <c r="R39" i="109" s="1"/>
  <c r="P40" i="93"/>
  <c r="R40" i="109" s="1"/>
  <c r="P41" i="93"/>
  <c r="R41" i="109" s="1"/>
  <c r="P42" i="93"/>
  <c r="R42" i="109" s="1"/>
  <c r="P43" i="93"/>
  <c r="R43" i="109" s="1"/>
  <c r="R44" i="109"/>
  <c r="P45" i="93"/>
  <c r="R45" i="109" s="1"/>
  <c r="P53" i="93"/>
  <c r="R53" i="109" s="1"/>
  <c r="P54" i="93"/>
  <c r="R54" i="109" s="1"/>
  <c r="P55" i="93"/>
  <c r="P57" i="93"/>
  <c r="R57" i="109" s="1"/>
  <c r="P58" i="93"/>
  <c r="R58" i="109" s="1"/>
  <c r="P59" i="93"/>
  <c r="P61" i="93"/>
  <c r="R61" i="109" s="1"/>
  <c r="R62" i="109" s="1"/>
  <c r="S62" i="109" s="1"/>
  <c r="O7" i="93"/>
  <c r="Q7" i="109" s="1"/>
  <c r="O8" i="93"/>
  <c r="Q8" i="109" s="1"/>
  <c r="O9" i="93"/>
  <c r="Q9" i="109" s="1"/>
  <c r="O10" i="93"/>
  <c r="Q10" i="109" s="1"/>
  <c r="O11" i="93"/>
  <c r="Q11" i="109" s="1"/>
  <c r="O12" i="93"/>
  <c r="Q12" i="109" s="1"/>
  <c r="O13" i="93"/>
  <c r="Q13" i="109" s="1"/>
  <c r="O14" i="93"/>
  <c r="Q14" i="109" s="1"/>
  <c r="O15" i="93"/>
  <c r="Q15" i="109" s="1"/>
  <c r="O16" i="93"/>
  <c r="Q16" i="109" s="1"/>
  <c r="O17" i="93"/>
  <c r="Q17" i="109" s="1"/>
  <c r="O18" i="93"/>
  <c r="Q18" i="109" s="1"/>
  <c r="O19" i="93"/>
  <c r="Q19" i="109" s="1"/>
  <c r="O20" i="93"/>
  <c r="Q20" i="109" s="1"/>
  <c r="O21" i="93"/>
  <c r="Q21" i="109" s="1"/>
  <c r="O22" i="93"/>
  <c r="Q22" i="109" s="1"/>
  <c r="O23" i="93"/>
  <c r="Q23" i="109" s="1"/>
  <c r="O24" i="93"/>
  <c r="Q24" i="109" s="1"/>
  <c r="O25" i="93"/>
  <c r="Q25" i="109" s="1"/>
  <c r="O26" i="93"/>
  <c r="Q26" i="109" s="1"/>
  <c r="O27" i="93"/>
  <c r="Q27" i="109" s="1"/>
  <c r="O28" i="93"/>
  <c r="Q28" i="109" s="1"/>
  <c r="O29" i="93"/>
  <c r="Q29" i="109" s="1"/>
  <c r="O30" i="93"/>
  <c r="Q30" i="109" s="1"/>
  <c r="O31" i="93"/>
  <c r="Q31" i="109" s="1"/>
  <c r="O32" i="93"/>
  <c r="Q32" i="109" s="1"/>
  <c r="O34" i="93"/>
  <c r="Q34" i="109" s="1"/>
  <c r="O36" i="93"/>
  <c r="Q36" i="109" s="1"/>
  <c r="O37" i="93"/>
  <c r="Q37" i="109" s="1"/>
  <c r="O38" i="93"/>
  <c r="Q38" i="109" s="1"/>
  <c r="O39" i="93"/>
  <c r="Q39" i="109" s="1"/>
  <c r="O40" i="93"/>
  <c r="Q40" i="109" s="1"/>
  <c r="O41" i="93"/>
  <c r="Q41" i="109" s="1"/>
  <c r="O42" i="93"/>
  <c r="Q42" i="109" s="1"/>
  <c r="O43" i="93"/>
  <c r="Q43" i="109" s="1"/>
  <c r="Q44" i="109"/>
  <c r="O45" i="93"/>
  <c r="Q45" i="109" s="1"/>
  <c r="O53" i="93"/>
  <c r="Q53" i="109" s="1"/>
  <c r="O54" i="93"/>
  <c r="Q54" i="109" s="1"/>
  <c r="O55" i="93"/>
  <c r="O57" i="93"/>
  <c r="Q57" i="109" s="1"/>
  <c r="O58" i="93"/>
  <c r="Q58" i="109" s="1"/>
  <c r="O59" i="93"/>
  <c r="Q59" i="109" s="1"/>
  <c r="O61" i="93"/>
  <c r="Q61" i="109" s="1"/>
  <c r="Q62" i="109" s="1"/>
  <c r="Q57" i="93"/>
  <c r="Q58" i="93"/>
  <c r="E62" i="93"/>
  <c r="F62" i="93"/>
  <c r="G62" i="93"/>
  <c r="H62" i="93"/>
  <c r="I62" i="93"/>
  <c r="J62" i="93"/>
  <c r="K62" i="93"/>
  <c r="L62" i="93"/>
  <c r="M62" i="93"/>
  <c r="N62" i="93"/>
  <c r="E60" i="93"/>
  <c r="F60" i="93"/>
  <c r="G60" i="93"/>
  <c r="H60" i="93"/>
  <c r="I60" i="93"/>
  <c r="J60" i="93"/>
  <c r="K60" i="93"/>
  <c r="L60" i="93"/>
  <c r="M60" i="93"/>
  <c r="N60" i="93"/>
  <c r="D62" i="93"/>
  <c r="C62" i="93"/>
  <c r="D60" i="93"/>
  <c r="C60" i="93"/>
  <c r="D56" i="93"/>
  <c r="C56" i="93"/>
  <c r="D33" i="93"/>
  <c r="C33" i="93"/>
  <c r="L34" i="108"/>
  <c r="L35" i="108"/>
  <c r="L39" i="108"/>
  <c r="L40" i="108"/>
  <c r="L41" i="108"/>
  <c r="L42" i="108"/>
  <c r="L43" i="108"/>
  <c r="L45" i="108"/>
  <c r="L46" i="108"/>
  <c r="L47" i="108"/>
  <c r="L49" i="108"/>
  <c r="L51" i="108"/>
  <c r="L52" i="108"/>
  <c r="L55" i="108"/>
  <c r="L57" i="108"/>
  <c r="L58" i="108"/>
  <c r="L59" i="108"/>
  <c r="L61" i="108"/>
  <c r="G34" i="108"/>
  <c r="G35" i="108"/>
  <c r="G39" i="108"/>
  <c r="G40" i="108"/>
  <c r="G41" i="108"/>
  <c r="G42" i="108"/>
  <c r="G43" i="108"/>
  <c r="G45" i="108"/>
  <c r="G46" i="108"/>
  <c r="G47" i="108"/>
  <c r="G49" i="108"/>
  <c r="G51" i="108"/>
  <c r="G52" i="108"/>
  <c r="G55" i="108"/>
  <c r="G57" i="108"/>
  <c r="G58" i="108"/>
  <c r="G59" i="108"/>
  <c r="G61" i="108"/>
  <c r="D62" i="108"/>
  <c r="E62" i="108"/>
  <c r="F62" i="108"/>
  <c r="H62" i="108"/>
  <c r="I62" i="108"/>
  <c r="J62" i="108"/>
  <c r="K62" i="108"/>
  <c r="D60" i="108"/>
  <c r="E60" i="108"/>
  <c r="F60" i="108"/>
  <c r="H60" i="108"/>
  <c r="I60" i="108"/>
  <c r="J60" i="108"/>
  <c r="K60" i="108"/>
  <c r="D56" i="108"/>
  <c r="E56" i="108"/>
  <c r="F56" i="108"/>
  <c r="H56" i="108"/>
  <c r="I56" i="108"/>
  <c r="J56" i="108"/>
  <c r="K56" i="108"/>
  <c r="D33" i="108"/>
  <c r="E33" i="108"/>
  <c r="F33" i="108"/>
  <c r="H33" i="108"/>
  <c r="I33" i="108"/>
  <c r="J33" i="108"/>
  <c r="K33" i="108"/>
  <c r="P6" i="108"/>
  <c r="O6" i="108"/>
  <c r="L7" i="108"/>
  <c r="L8" i="108"/>
  <c r="L9" i="108"/>
  <c r="L10" i="108"/>
  <c r="L12" i="108"/>
  <c r="L13" i="108"/>
  <c r="L14" i="108"/>
  <c r="L15" i="108"/>
  <c r="L16" i="108"/>
  <c r="L17" i="108"/>
  <c r="L18" i="108"/>
  <c r="L19" i="108"/>
  <c r="L20" i="108"/>
  <c r="L21" i="108"/>
  <c r="L22" i="108"/>
  <c r="L23" i="108"/>
  <c r="L24" i="108"/>
  <c r="L25" i="108"/>
  <c r="L26" i="108"/>
  <c r="L27" i="108"/>
  <c r="L28" i="108"/>
  <c r="L29" i="108"/>
  <c r="L30" i="108"/>
  <c r="L31" i="108"/>
  <c r="L32" i="108"/>
  <c r="L6" i="108"/>
  <c r="G7" i="108"/>
  <c r="G8" i="108"/>
  <c r="G9" i="108"/>
  <c r="G10" i="108"/>
  <c r="G11" i="108"/>
  <c r="G12" i="108"/>
  <c r="G13" i="108"/>
  <c r="G14" i="108"/>
  <c r="G15" i="108"/>
  <c r="G16" i="108"/>
  <c r="G17" i="108"/>
  <c r="G18" i="108"/>
  <c r="G19" i="108"/>
  <c r="G20" i="108"/>
  <c r="G21" i="108"/>
  <c r="G22" i="108"/>
  <c r="G23" i="108"/>
  <c r="G24" i="108"/>
  <c r="G25" i="108"/>
  <c r="G26" i="108"/>
  <c r="G27" i="108"/>
  <c r="G28" i="108"/>
  <c r="G29" i="108"/>
  <c r="G30" i="108"/>
  <c r="G31" i="108"/>
  <c r="G32" i="108"/>
  <c r="G6" i="108"/>
  <c r="M7" i="108"/>
  <c r="O7" i="109" s="1"/>
  <c r="N7" i="108"/>
  <c r="P7" i="109" s="1"/>
  <c r="S7" i="109" s="1"/>
  <c r="M8" i="108"/>
  <c r="O8" i="109" s="1"/>
  <c r="N8" i="108"/>
  <c r="P8" i="109" s="1"/>
  <c r="S8" i="109" s="1"/>
  <c r="M9" i="108"/>
  <c r="O9" i="109" s="1"/>
  <c r="N9" i="108"/>
  <c r="P9" i="109" s="1"/>
  <c r="S9" i="109" s="1"/>
  <c r="M10" i="108"/>
  <c r="O10" i="109" s="1"/>
  <c r="N10" i="108"/>
  <c r="P10" i="109" s="1"/>
  <c r="S10" i="109" s="1"/>
  <c r="M11" i="108"/>
  <c r="O11" i="109" s="1"/>
  <c r="P11" i="109"/>
  <c r="S11" i="109" s="1"/>
  <c r="M12" i="108"/>
  <c r="O12" i="109" s="1"/>
  <c r="N12" i="108"/>
  <c r="P12" i="109" s="1"/>
  <c r="M13" i="108"/>
  <c r="O13" i="109" s="1"/>
  <c r="N13" i="108"/>
  <c r="P13" i="109" s="1"/>
  <c r="M14" i="108"/>
  <c r="O14" i="109" s="1"/>
  <c r="N14" i="108"/>
  <c r="P14" i="109" s="1"/>
  <c r="S14" i="109" s="1"/>
  <c r="M15" i="108"/>
  <c r="O15" i="109" s="1"/>
  <c r="N15" i="108"/>
  <c r="P15" i="109" s="1"/>
  <c r="S15" i="109" s="1"/>
  <c r="M16" i="108"/>
  <c r="O16" i="109" s="1"/>
  <c r="N16" i="108"/>
  <c r="P16" i="109" s="1"/>
  <c r="S16" i="109" s="1"/>
  <c r="M17" i="108"/>
  <c r="O17" i="109" s="1"/>
  <c r="N17" i="108"/>
  <c r="P17" i="109" s="1"/>
  <c r="S17" i="109" s="1"/>
  <c r="M18" i="108"/>
  <c r="O18" i="109" s="1"/>
  <c r="N18" i="108"/>
  <c r="P18" i="109" s="1"/>
  <c r="S18" i="109" s="1"/>
  <c r="M19" i="108"/>
  <c r="O19" i="109" s="1"/>
  <c r="N19" i="108"/>
  <c r="P19" i="109" s="1"/>
  <c r="S19" i="109" s="1"/>
  <c r="M20" i="108"/>
  <c r="O20" i="109" s="1"/>
  <c r="N20" i="108"/>
  <c r="P20" i="109" s="1"/>
  <c r="S20" i="109" s="1"/>
  <c r="M21" i="108"/>
  <c r="O21" i="109" s="1"/>
  <c r="N21" i="108"/>
  <c r="P21" i="109" s="1"/>
  <c r="S21" i="109" s="1"/>
  <c r="M22" i="108"/>
  <c r="O22" i="109" s="1"/>
  <c r="N22" i="108"/>
  <c r="P22" i="109" s="1"/>
  <c r="S22" i="109" s="1"/>
  <c r="M23" i="108"/>
  <c r="O23" i="109" s="1"/>
  <c r="N23" i="108"/>
  <c r="P23" i="109" s="1"/>
  <c r="S23" i="109" s="1"/>
  <c r="M24" i="108"/>
  <c r="O24" i="109" s="1"/>
  <c r="N24" i="108"/>
  <c r="P24" i="109" s="1"/>
  <c r="S24" i="109" s="1"/>
  <c r="M25" i="108"/>
  <c r="O25" i="109" s="1"/>
  <c r="N25" i="108"/>
  <c r="P25" i="109" s="1"/>
  <c r="S25" i="109" s="1"/>
  <c r="M26" i="108"/>
  <c r="O26" i="109" s="1"/>
  <c r="N26" i="108"/>
  <c r="P26" i="109" s="1"/>
  <c r="S26" i="109" s="1"/>
  <c r="M27" i="108"/>
  <c r="O27" i="109" s="1"/>
  <c r="N27" i="108"/>
  <c r="P27" i="109" s="1"/>
  <c r="S27" i="109" s="1"/>
  <c r="M28" i="108"/>
  <c r="O28" i="109" s="1"/>
  <c r="N28" i="108"/>
  <c r="P28" i="109" s="1"/>
  <c r="S28" i="109" s="1"/>
  <c r="M29" i="108"/>
  <c r="O29" i="109" s="1"/>
  <c r="N29" i="108"/>
  <c r="P29" i="109" s="1"/>
  <c r="S29" i="109" s="1"/>
  <c r="M30" i="108"/>
  <c r="O30" i="109" s="1"/>
  <c r="N30" i="108"/>
  <c r="P30" i="109" s="1"/>
  <c r="S30" i="109" s="1"/>
  <c r="M31" i="108"/>
  <c r="O31" i="109" s="1"/>
  <c r="N31" i="108"/>
  <c r="P31" i="109" s="1"/>
  <c r="S31" i="109" s="1"/>
  <c r="M32" i="108"/>
  <c r="O32" i="109" s="1"/>
  <c r="N32" i="108"/>
  <c r="P32" i="109" s="1"/>
  <c r="M34" i="108"/>
  <c r="O34" i="109" s="1"/>
  <c r="N34" i="108"/>
  <c r="P34" i="109" s="1"/>
  <c r="M35" i="108"/>
  <c r="O35" i="109" s="1"/>
  <c r="N35" i="108"/>
  <c r="P35" i="109" s="1"/>
  <c r="S35" i="109" s="1"/>
  <c r="M36" i="108"/>
  <c r="O36" i="109" s="1"/>
  <c r="N36" i="108"/>
  <c r="P36" i="109" s="1"/>
  <c r="M37" i="108"/>
  <c r="O37" i="109" s="1"/>
  <c r="N37" i="108"/>
  <c r="P37" i="109" s="1"/>
  <c r="M38" i="108"/>
  <c r="O38" i="109" s="1"/>
  <c r="N38" i="108"/>
  <c r="P38" i="109" s="1"/>
  <c r="M39" i="108"/>
  <c r="O39" i="109" s="1"/>
  <c r="N39" i="108"/>
  <c r="P39" i="109" s="1"/>
  <c r="M40" i="108"/>
  <c r="O40" i="109" s="1"/>
  <c r="N40" i="108"/>
  <c r="P40" i="109" s="1"/>
  <c r="M41" i="108"/>
  <c r="O41" i="109" s="1"/>
  <c r="N41" i="108"/>
  <c r="P41" i="109" s="1"/>
  <c r="M42" i="108"/>
  <c r="O42" i="109" s="1"/>
  <c r="N42" i="108"/>
  <c r="P42" i="109" s="1"/>
  <c r="M43" i="108"/>
  <c r="O43" i="109" s="1"/>
  <c r="N43" i="108"/>
  <c r="P43" i="109" s="1"/>
  <c r="M44" i="108"/>
  <c r="O44" i="109" s="1"/>
  <c r="N44" i="108"/>
  <c r="P44" i="109" s="1"/>
  <c r="M45" i="108"/>
  <c r="O45" i="109" s="1"/>
  <c r="N45" i="108"/>
  <c r="P45" i="109" s="1"/>
  <c r="M46" i="108"/>
  <c r="O46" i="109" s="1"/>
  <c r="N46" i="108"/>
  <c r="P46" i="109" s="1"/>
  <c r="S46" i="109" s="1"/>
  <c r="M47" i="108"/>
  <c r="O47" i="109" s="1"/>
  <c r="N47" i="108"/>
  <c r="P47" i="109" s="1"/>
  <c r="S47" i="109" s="1"/>
  <c r="M48" i="108"/>
  <c r="O48" i="109" s="1"/>
  <c r="N48" i="108"/>
  <c r="P48" i="109" s="1"/>
  <c r="S48" i="109" s="1"/>
  <c r="M49" i="108"/>
  <c r="O49" i="109" s="1"/>
  <c r="N49" i="108"/>
  <c r="P49" i="109" s="1"/>
  <c r="S49" i="109" s="1"/>
  <c r="M50" i="108"/>
  <c r="O50" i="109" s="1"/>
  <c r="N50" i="108"/>
  <c r="P50" i="109" s="1"/>
  <c r="S50" i="109" s="1"/>
  <c r="M51" i="108"/>
  <c r="O51" i="109" s="1"/>
  <c r="N51" i="108"/>
  <c r="P51" i="109" s="1"/>
  <c r="S51" i="109" s="1"/>
  <c r="M52" i="108"/>
  <c r="O52" i="109" s="1"/>
  <c r="N52" i="108"/>
  <c r="P52" i="109" s="1"/>
  <c r="S52" i="109" s="1"/>
  <c r="M53" i="108"/>
  <c r="O53" i="109" s="1"/>
  <c r="N53" i="108"/>
  <c r="P53" i="109" s="1"/>
  <c r="M54" i="108"/>
  <c r="O54" i="109" s="1"/>
  <c r="N54" i="108"/>
  <c r="P54" i="109" s="1"/>
  <c r="M55" i="108"/>
  <c r="O55" i="109" s="1"/>
  <c r="N55" i="108"/>
  <c r="P55" i="109" s="1"/>
  <c r="M57" i="108"/>
  <c r="O57" i="109" s="1"/>
  <c r="N57" i="108"/>
  <c r="P57" i="109" s="1"/>
  <c r="M61" i="108"/>
  <c r="O61" i="109" s="1"/>
  <c r="O62" i="109" s="1"/>
  <c r="N61" i="108"/>
  <c r="P61" i="109" s="1"/>
  <c r="P62" i="109" s="1"/>
  <c r="N6" i="108"/>
  <c r="P6" i="109" s="1"/>
  <c r="M6" i="108"/>
  <c r="O6" i="109" s="1"/>
  <c r="C62" i="108"/>
  <c r="C60" i="108"/>
  <c r="C56" i="108"/>
  <c r="C33" i="108"/>
  <c r="Q17" i="108" l="1"/>
  <c r="G62" i="108"/>
  <c r="H63" i="108"/>
  <c r="G60" i="108"/>
  <c r="Q22" i="108"/>
  <c r="Q6" i="108"/>
  <c r="Q9" i="108"/>
  <c r="N56" i="108"/>
  <c r="Q43" i="108"/>
  <c r="I63" i="108"/>
  <c r="Q49" i="108"/>
  <c r="C63" i="108"/>
  <c r="Q30" i="108"/>
  <c r="D63" i="108"/>
  <c r="Q39" i="108"/>
  <c r="P56" i="109"/>
  <c r="Q63" i="71"/>
  <c r="G63" i="71"/>
  <c r="Q61" i="93"/>
  <c r="D63" i="93"/>
  <c r="C63" i="93"/>
  <c r="N63" i="93"/>
  <c r="F63" i="93"/>
  <c r="J63" i="93"/>
  <c r="G63" i="93"/>
  <c r="S61" i="109"/>
  <c r="P56" i="93"/>
  <c r="R55" i="109"/>
  <c r="S55" i="109" s="1"/>
  <c r="S40" i="109"/>
  <c r="O60" i="93"/>
  <c r="M33" i="108"/>
  <c r="O33" i="109" s="1"/>
  <c r="Q25" i="108"/>
  <c r="Q21" i="108"/>
  <c r="Q16" i="108"/>
  <c r="Q8" i="108"/>
  <c r="L33" i="108"/>
  <c r="G33" i="108"/>
  <c r="M56" i="108"/>
  <c r="O56" i="109" s="1"/>
  <c r="Q57" i="108"/>
  <c r="Q47" i="108"/>
  <c r="Q42" i="108"/>
  <c r="Q35" i="108"/>
  <c r="Q59" i="93"/>
  <c r="R59" i="109"/>
  <c r="S43" i="109"/>
  <c r="S39" i="109"/>
  <c r="S34" i="109"/>
  <c r="P62" i="93"/>
  <c r="L62" i="108"/>
  <c r="Q61" i="108"/>
  <c r="Q32" i="108"/>
  <c r="Q24" i="108"/>
  <c r="Q20" i="108"/>
  <c r="Q15" i="108"/>
  <c r="Q7" i="108"/>
  <c r="L56" i="108"/>
  <c r="G56" i="108"/>
  <c r="N62" i="108"/>
  <c r="Q52" i="108"/>
  <c r="Q46" i="108"/>
  <c r="Q41" i="108"/>
  <c r="Q34" i="108"/>
  <c r="S42" i="109"/>
  <c r="S38" i="109"/>
  <c r="S32" i="109"/>
  <c r="O62" i="93"/>
  <c r="O56" i="93"/>
  <c r="Q55" i="109"/>
  <c r="Q55" i="108"/>
  <c r="Q31" i="108"/>
  <c r="Q23" i="108"/>
  <c r="Q19" i="108"/>
  <c r="Q11" i="108"/>
  <c r="N33" i="108"/>
  <c r="P33" i="109" s="1"/>
  <c r="L60" i="108"/>
  <c r="M62" i="108"/>
  <c r="Q51" i="108"/>
  <c r="Q45" i="108"/>
  <c r="Q40" i="108"/>
  <c r="S57" i="109"/>
  <c r="S45" i="109"/>
  <c r="S41" i="109"/>
  <c r="P60" i="93"/>
  <c r="Q27" i="108"/>
  <c r="Q18" i="108"/>
  <c r="Q13" i="108"/>
  <c r="S13" i="109"/>
  <c r="Q29" i="108"/>
  <c r="Q28" i="108"/>
  <c r="Q14" i="108"/>
  <c r="E63" i="108"/>
  <c r="Q26" i="108"/>
  <c r="L63" i="71"/>
  <c r="S12" i="109"/>
  <c r="Q12" i="108"/>
  <c r="K63" i="93"/>
  <c r="M63" i="93"/>
  <c r="I63" i="93"/>
  <c r="E63" i="93"/>
  <c r="L63" i="93"/>
  <c r="H63" i="93"/>
  <c r="Q10" i="108"/>
  <c r="J63" i="108"/>
  <c r="F63" i="108"/>
  <c r="K63" i="108"/>
  <c r="G63" i="108" l="1"/>
  <c r="Q60" i="93"/>
  <c r="L63" i="108"/>
  <c r="Q62" i="93"/>
  <c r="L7" i="73" l="1"/>
  <c r="L8" i="73"/>
  <c r="L9" i="73"/>
  <c r="L10" i="73"/>
  <c r="L12" i="73"/>
  <c r="L13" i="73"/>
  <c r="L14" i="73"/>
  <c r="L15" i="73"/>
  <c r="L16" i="73"/>
  <c r="L17" i="73"/>
  <c r="L18" i="73"/>
  <c r="L19" i="73"/>
  <c r="L20" i="73"/>
  <c r="L21" i="73"/>
  <c r="L22" i="73"/>
  <c r="L23" i="73"/>
  <c r="L24" i="73"/>
  <c r="L25" i="73"/>
  <c r="L26" i="73"/>
  <c r="L27" i="73"/>
  <c r="L28" i="73"/>
  <c r="L29" i="73"/>
  <c r="L30" i="73"/>
  <c r="L31" i="73"/>
  <c r="L32" i="73"/>
  <c r="L34" i="73"/>
  <c r="L35" i="73"/>
  <c r="L39" i="73"/>
  <c r="L40" i="73"/>
  <c r="L41" i="73"/>
  <c r="L42" i="73"/>
  <c r="L43" i="73"/>
  <c r="L45" i="73"/>
  <c r="L46" i="73"/>
  <c r="L47" i="73"/>
  <c r="L49" i="73"/>
  <c r="L51" i="73"/>
  <c r="L52" i="73"/>
  <c r="L55" i="73"/>
  <c r="L57" i="73"/>
  <c r="L58" i="73"/>
  <c r="L61" i="73"/>
  <c r="G7" i="73"/>
  <c r="G8" i="73"/>
  <c r="G9" i="73"/>
  <c r="G10" i="73"/>
  <c r="G11" i="73"/>
  <c r="G12" i="73"/>
  <c r="G13" i="73"/>
  <c r="G14" i="73"/>
  <c r="G15" i="73"/>
  <c r="G16" i="73"/>
  <c r="G17" i="73"/>
  <c r="G18" i="73"/>
  <c r="G19" i="73"/>
  <c r="G20" i="73"/>
  <c r="G21" i="73"/>
  <c r="G22" i="73"/>
  <c r="G23" i="73"/>
  <c r="G24" i="73"/>
  <c r="G25" i="73"/>
  <c r="G26" i="73"/>
  <c r="G27" i="73"/>
  <c r="G28" i="73"/>
  <c r="G29" i="73"/>
  <c r="G30" i="73"/>
  <c r="G31" i="73"/>
  <c r="G32" i="73"/>
  <c r="G34" i="73"/>
  <c r="G35" i="73"/>
  <c r="G39" i="73"/>
  <c r="G40" i="73"/>
  <c r="G41" i="73"/>
  <c r="G42" i="73"/>
  <c r="G43" i="73"/>
  <c r="G45" i="73"/>
  <c r="G46" i="73"/>
  <c r="G47" i="73"/>
  <c r="G49" i="73"/>
  <c r="G51" i="73"/>
  <c r="G52" i="73"/>
  <c r="G55" i="73"/>
  <c r="G57" i="73"/>
  <c r="G61" i="73"/>
  <c r="P62" i="108"/>
  <c r="C62" i="73"/>
  <c r="E60" i="73"/>
  <c r="O60" i="108" s="1"/>
  <c r="Q60" i="109" s="1"/>
  <c r="F60" i="73"/>
  <c r="P60" i="108" s="1"/>
  <c r="J60" i="73"/>
  <c r="K60" i="73"/>
  <c r="D56" i="73"/>
  <c r="E56" i="73"/>
  <c r="O56" i="108" s="1"/>
  <c r="Q56" i="109" s="1"/>
  <c r="F56" i="73"/>
  <c r="H56" i="73"/>
  <c r="I56" i="73"/>
  <c r="J56" i="73"/>
  <c r="K56" i="73"/>
  <c r="C56" i="73"/>
  <c r="D33" i="73"/>
  <c r="E33" i="73"/>
  <c r="F33" i="73"/>
  <c r="H33" i="73"/>
  <c r="I33" i="73"/>
  <c r="J33" i="73"/>
  <c r="K33" i="73"/>
  <c r="C33" i="73"/>
  <c r="L56" i="73" l="1"/>
  <c r="P33" i="108"/>
  <c r="Q33" i="108" s="1"/>
  <c r="O62" i="108"/>
  <c r="O33" i="108"/>
  <c r="K63" i="73"/>
  <c r="G56" i="73"/>
  <c r="P56" i="108"/>
  <c r="R60" i="109"/>
  <c r="Q62" i="108"/>
  <c r="G33" i="73"/>
  <c r="J63" i="73"/>
  <c r="J66" i="73" s="1"/>
  <c r="L33" i="73"/>
  <c r="E63" i="73"/>
  <c r="F63" i="73"/>
  <c r="K65" i="73" l="1"/>
  <c r="K66" i="73" s="1"/>
  <c r="P66" i="108"/>
  <c r="O63" i="108"/>
  <c r="P63" i="108"/>
  <c r="P68" i="108" s="1"/>
  <c r="Q56" i="108"/>
  <c r="R56" i="109"/>
  <c r="S56" i="109" s="1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7" i="9"/>
  <c r="J58" i="9"/>
  <c r="J59" i="9"/>
  <c r="J61" i="9"/>
  <c r="J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7" i="9"/>
  <c r="I58" i="9"/>
  <c r="I59" i="9"/>
  <c r="I61" i="9"/>
  <c r="I6" i="9"/>
  <c r="V24" i="105"/>
  <c r="X24" i="105" s="1"/>
  <c r="F6" i="112"/>
  <c r="F7" i="112"/>
  <c r="F8" i="112"/>
  <c r="F9" i="112"/>
  <c r="F10" i="112"/>
  <c r="F11" i="112"/>
  <c r="F12" i="112"/>
  <c r="F13" i="112"/>
  <c r="F14" i="112"/>
  <c r="F15" i="112"/>
  <c r="F16" i="112"/>
  <c r="F17" i="112"/>
  <c r="F18" i="112"/>
  <c r="F19" i="112"/>
  <c r="F20" i="112"/>
  <c r="F21" i="112"/>
  <c r="F22" i="112"/>
  <c r="F23" i="112"/>
  <c r="F24" i="112"/>
  <c r="F25" i="112"/>
  <c r="F26" i="112"/>
  <c r="F27" i="112"/>
  <c r="F28" i="112"/>
  <c r="F29" i="112"/>
  <c r="F30" i="112"/>
  <c r="F31" i="112"/>
  <c r="F32" i="112"/>
  <c r="F33" i="112"/>
  <c r="F34" i="112"/>
  <c r="F35" i="112"/>
  <c r="F36" i="112"/>
  <c r="F37" i="112"/>
  <c r="F38" i="112"/>
  <c r="F39" i="112"/>
  <c r="F40" i="112"/>
  <c r="F41" i="112"/>
  <c r="F42" i="112"/>
  <c r="F43" i="112"/>
  <c r="F44" i="112"/>
  <c r="F45" i="112"/>
  <c r="F46" i="112"/>
  <c r="F47" i="112"/>
  <c r="F48" i="112"/>
  <c r="F49" i="112"/>
  <c r="F50" i="112"/>
  <c r="F51" i="112"/>
  <c r="F52" i="112"/>
  <c r="F53" i="112"/>
  <c r="F54" i="112"/>
  <c r="F55" i="112"/>
  <c r="F5" i="112"/>
  <c r="D62" i="106" l="1"/>
  <c r="G62" i="106"/>
  <c r="H62" i="106"/>
  <c r="K62" i="106"/>
  <c r="M62" i="129" s="1"/>
  <c r="M63" i="129" s="1"/>
  <c r="L62" i="106"/>
  <c r="M62" i="106"/>
  <c r="N62" i="106"/>
  <c r="O62" i="106"/>
  <c r="P62" i="106"/>
  <c r="D60" i="106"/>
  <c r="G60" i="106"/>
  <c r="H60" i="106"/>
  <c r="K60" i="106"/>
  <c r="L60" i="106"/>
  <c r="M60" i="106"/>
  <c r="N60" i="106"/>
  <c r="O60" i="106"/>
  <c r="P60" i="106"/>
  <c r="D56" i="106"/>
  <c r="G56" i="106"/>
  <c r="H56" i="106"/>
  <c r="K56" i="106"/>
  <c r="L56" i="106"/>
  <c r="M56" i="106"/>
  <c r="N56" i="106"/>
  <c r="O56" i="106"/>
  <c r="P56" i="106"/>
  <c r="D33" i="106"/>
  <c r="G33" i="106"/>
  <c r="H33" i="106"/>
  <c r="K33" i="106"/>
  <c r="M33" i="129" s="1"/>
  <c r="L33" i="106"/>
  <c r="M33" i="106"/>
  <c r="N33" i="106"/>
  <c r="O33" i="106"/>
  <c r="P33" i="106"/>
  <c r="Q7" i="106"/>
  <c r="Q8" i="106"/>
  <c r="Q9" i="106"/>
  <c r="Q10" i="106"/>
  <c r="Q11" i="106"/>
  <c r="Q12" i="106"/>
  <c r="Q13" i="106"/>
  <c r="Q14" i="106"/>
  <c r="Q15" i="106"/>
  <c r="Q16" i="106"/>
  <c r="Q17" i="106"/>
  <c r="Q18" i="106"/>
  <c r="Q19" i="106"/>
  <c r="Q20" i="106"/>
  <c r="Q21" i="106"/>
  <c r="Q22" i="106"/>
  <c r="Q23" i="106"/>
  <c r="Q24" i="106"/>
  <c r="Q25" i="106"/>
  <c r="Q26" i="106"/>
  <c r="Q27" i="106"/>
  <c r="Q28" i="106"/>
  <c r="Q29" i="106"/>
  <c r="Q30" i="106"/>
  <c r="Q31" i="106"/>
  <c r="Q32" i="106"/>
  <c r="Q34" i="106"/>
  <c r="Q35" i="106"/>
  <c r="Q36" i="106"/>
  <c r="Q37" i="106"/>
  <c r="Q38" i="106"/>
  <c r="Q39" i="106"/>
  <c r="Q40" i="106"/>
  <c r="Q41" i="106"/>
  <c r="Q42" i="106"/>
  <c r="Q43" i="106"/>
  <c r="Q44" i="106"/>
  <c r="Q45" i="106"/>
  <c r="Q46" i="106"/>
  <c r="Q47" i="106"/>
  <c r="Q48" i="106"/>
  <c r="Q49" i="106"/>
  <c r="Q52" i="106"/>
  <c r="Q53" i="106"/>
  <c r="Q54" i="106"/>
  <c r="Q55" i="106"/>
  <c r="Q57" i="106"/>
  <c r="Q58" i="106"/>
  <c r="Q59" i="106"/>
  <c r="Q61" i="106"/>
  <c r="Q62" i="106" s="1"/>
  <c r="Q6" i="106"/>
  <c r="R7" i="106"/>
  <c r="R8" i="106"/>
  <c r="R9" i="106"/>
  <c r="R10" i="106"/>
  <c r="R11" i="106"/>
  <c r="R12" i="106"/>
  <c r="R13" i="106"/>
  <c r="W13" i="106" s="1"/>
  <c r="R14" i="106"/>
  <c r="R15" i="106"/>
  <c r="R16" i="106"/>
  <c r="R17" i="106"/>
  <c r="R18" i="106"/>
  <c r="R19" i="106"/>
  <c r="R20" i="106"/>
  <c r="R21" i="106"/>
  <c r="R22" i="106"/>
  <c r="R23" i="106"/>
  <c r="R24" i="106"/>
  <c r="R25" i="106"/>
  <c r="R26" i="106"/>
  <c r="R27" i="106"/>
  <c r="R28" i="106"/>
  <c r="R29" i="106"/>
  <c r="R30" i="106"/>
  <c r="R31" i="106"/>
  <c r="R32" i="106"/>
  <c r="R34" i="106"/>
  <c r="R35" i="106"/>
  <c r="R36" i="106"/>
  <c r="R37" i="106"/>
  <c r="R38" i="106"/>
  <c r="R39" i="106"/>
  <c r="R40" i="106"/>
  <c r="R41" i="106"/>
  <c r="R42" i="106"/>
  <c r="R43" i="106"/>
  <c r="R44" i="106"/>
  <c r="R45" i="106"/>
  <c r="R46" i="106"/>
  <c r="R47" i="106"/>
  <c r="R48" i="106"/>
  <c r="R49" i="106"/>
  <c r="S50" i="106"/>
  <c r="S51" i="106"/>
  <c r="R52" i="106"/>
  <c r="R53" i="106"/>
  <c r="R54" i="106"/>
  <c r="R55" i="106"/>
  <c r="R57" i="106"/>
  <c r="R58" i="106"/>
  <c r="R59" i="106"/>
  <c r="R61" i="106"/>
  <c r="R6" i="106"/>
  <c r="C62" i="106"/>
  <c r="C60" i="106"/>
  <c r="C56" i="106"/>
  <c r="C33" i="106"/>
  <c r="S58" i="106" l="1"/>
  <c r="W58" i="106"/>
  <c r="S53" i="106"/>
  <c r="W53" i="106"/>
  <c r="S45" i="106"/>
  <c r="W45" i="106"/>
  <c r="S37" i="106"/>
  <c r="W37" i="106"/>
  <c r="S24" i="106"/>
  <c r="W24" i="106"/>
  <c r="S16" i="106"/>
  <c r="W16" i="106"/>
  <c r="S8" i="106"/>
  <c r="W8" i="106"/>
  <c r="S57" i="106"/>
  <c r="W57" i="106"/>
  <c r="S48" i="106"/>
  <c r="W48" i="106"/>
  <c r="S40" i="106"/>
  <c r="W40" i="106"/>
  <c r="S31" i="106"/>
  <c r="W31" i="106"/>
  <c r="S19" i="106"/>
  <c r="W19" i="106"/>
  <c r="S11" i="106"/>
  <c r="W11" i="106"/>
  <c r="S61" i="106"/>
  <c r="W61" i="106"/>
  <c r="S55" i="106"/>
  <c r="W55" i="106"/>
  <c r="S47" i="106"/>
  <c r="W47" i="106"/>
  <c r="S43" i="106"/>
  <c r="W43" i="106"/>
  <c r="S39" i="106"/>
  <c r="W39" i="106"/>
  <c r="S35" i="106"/>
  <c r="W35" i="106"/>
  <c r="S30" i="106"/>
  <c r="W30" i="106"/>
  <c r="S26" i="106"/>
  <c r="W26" i="106"/>
  <c r="S22" i="106"/>
  <c r="W22" i="106"/>
  <c r="S18" i="106"/>
  <c r="W18" i="106"/>
  <c r="S14" i="106"/>
  <c r="W14" i="106"/>
  <c r="S10" i="106"/>
  <c r="W10" i="106"/>
  <c r="S49" i="106"/>
  <c r="W49" i="106"/>
  <c r="S41" i="106"/>
  <c r="W41" i="106"/>
  <c r="S32" i="106"/>
  <c r="W32" i="106"/>
  <c r="S28" i="106"/>
  <c r="W28" i="106"/>
  <c r="S20" i="106"/>
  <c r="W20" i="106"/>
  <c r="S12" i="106"/>
  <c r="W12" i="106"/>
  <c r="S6" i="106"/>
  <c r="W6" i="106"/>
  <c r="S52" i="106"/>
  <c r="W52" i="106"/>
  <c r="S44" i="106"/>
  <c r="W44" i="106"/>
  <c r="S36" i="106"/>
  <c r="W36" i="106"/>
  <c r="S27" i="106"/>
  <c r="W27" i="106"/>
  <c r="S23" i="106"/>
  <c r="W23" i="106"/>
  <c r="S15" i="106"/>
  <c r="W15" i="106"/>
  <c r="S7" i="106"/>
  <c r="W7" i="106"/>
  <c r="S59" i="106"/>
  <c r="W59" i="106"/>
  <c r="S54" i="106"/>
  <c r="W54" i="106"/>
  <c r="S46" i="106"/>
  <c r="W46" i="106"/>
  <c r="S42" i="106"/>
  <c r="W42" i="106"/>
  <c r="S38" i="106"/>
  <c r="W38" i="106"/>
  <c r="S34" i="106"/>
  <c r="W34" i="106"/>
  <c r="S29" i="106"/>
  <c r="W29" i="106"/>
  <c r="S25" i="106"/>
  <c r="W25" i="106"/>
  <c r="S21" i="106"/>
  <c r="W21" i="106"/>
  <c r="S17" i="106"/>
  <c r="W17" i="106"/>
  <c r="S9" i="106"/>
  <c r="W9" i="106"/>
  <c r="S13" i="106"/>
  <c r="P63" i="106"/>
  <c r="D63" i="106"/>
  <c r="M63" i="106"/>
  <c r="H63" i="106"/>
  <c r="Q60" i="106"/>
  <c r="R62" i="106"/>
  <c r="W62" i="106" s="1"/>
  <c r="R60" i="106"/>
  <c r="W60" i="106" s="1"/>
  <c r="R56" i="106"/>
  <c r="W56" i="106" s="1"/>
  <c r="Q56" i="106"/>
  <c r="O63" i="106"/>
  <c r="G63" i="106"/>
  <c r="N63" i="106"/>
  <c r="R33" i="106"/>
  <c r="W33" i="106" s="1"/>
  <c r="L63" i="106"/>
  <c r="Q33" i="106"/>
  <c r="K63" i="106"/>
  <c r="C63" i="106"/>
  <c r="V59" i="105"/>
  <c r="X59" i="105" s="1"/>
  <c r="N52" i="103"/>
  <c r="P52" i="107" s="1"/>
  <c r="W52" i="105" s="1"/>
  <c r="X52" i="105" s="1"/>
  <c r="V50" i="105"/>
  <c r="X50" i="105" s="1"/>
  <c r="V42" i="105"/>
  <c r="X42" i="105" s="1"/>
  <c r="V35" i="105"/>
  <c r="X35" i="105" s="1"/>
  <c r="V28" i="105"/>
  <c r="X28" i="105" s="1"/>
  <c r="V27" i="105"/>
  <c r="X27" i="105" s="1"/>
  <c r="P32" i="107" l="1"/>
  <c r="W32" i="105" s="1"/>
  <c r="X32" i="105" s="1"/>
  <c r="N33" i="107"/>
  <c r="V18" i="105"/>
  <c r="X18" i="105" s="1"/>
  <c r="T33" i="105"/>
  <c r="N60" i="107"/>
  <c r="P57" i="107"/>
  <c r="W57" i="105" s="1"/>
  <c r="X57" i="105" s="1"/>
  <c r="Q63" i="106"/>
  <c r="R63" i="106"/>
  <c r="W63" i="106" s="1"/>
  <c r="E7" i="15"/>
  <c r="E9" i="15"/>
  <c r="Z9" i="105"/>
  <c r="E11" i="15"/>
  <c r="E13" i="15"/>
  <c r="Z13" i="105"/>
  <c r="E14" i="15"/>
  <c r="E15" i="15"/>
  <c r="Z15" i="105"/>
  <c r="E16" i="15"/>
  <c r="E17" i="15"/>
  <c r="E18" i="15"/>
  <c r="E19" i="15"/>
  <c r="E20" i="15"/>
  <c r="E21" i="15"/>
  <c r="Z21" i="105"/>
  <c r="E22" i="15"/>
  <c r="E23" i="15"/>
  <c r="E25" i="15"/>
  <c r="Z25" i="105"/>
  <c r="E26" i="15"/>
  <c r="E28" i="15"/>
  <c r="E29" i="15"/>
  <c r="E30" i="15"/>
  <c r="E31" i="15"/>
  <c r="E32" i="15"/>
  <c r="E34" i="15"/>
  <c r="E35" i="15"/>
  <c r="E36" i="15"/>
  <c r="Z36" i="105"/>
  <c r="E37" i="15"/>
  <c r="E38" i="15"/>
  <c r="E39" i="15"/>
  <c r="E40" i="15"/>
  <c r="Z40" i="105"/>
  <c r="E41" i="15"/>
  <c r="Z41" i="105"/>
  <c r="E42" i="15"/>
  <c r="E43" i="15"/>
  <c r="E45" i="15"/>
  <c r="E46" i="15"/>
  <c r="E47" i="15"/>
  <c r="E48" i="15"/>
  <c r="Z48" i="105"/>
  <c r="E49" i="15"/>
  <c r="E50" i="15"/>
  <c r="E51" i="15"/>
  <c r="E52" i="15"/>
  <c r="E53" i="15"/>
  <c r="E54" i="15"/>
  <c r="E55" i="15"/>
  <c r="E57" i="15"/>
  <c r="E58" i="15"/>
  <c r="E59" i="15"/>
  <c r="V6" i="105"/>
  <c r="U6" i="105"/>
  <c r="E24" i="15"/>
  <c r="D62" i="105"/>
  <c r="E62" i="105"/>
  <c r="F62" i="105"/>
  <c r="G62" i="105"/>
  <c r="H62" i="105"/>
  <c r="I62" i="105"/>
  <c r="J62" i="105"/>
  <c r="M62" i="105"/>
  <c r="O62" i="111" s="1"/>
  <c r="N62" i="105"/>
  <c r="P62" i="111" s="1"/>
  <c r="O62" i="105"/>
  <c r="P62" i="105"/>
  <c r="Q62" i="105"/>
  <c r="R62" i="105"/>
  <c r="S62" i="105"/>
  <c r="T62" i="105"/>
  <c r="C62" i="105"/>
  <c r="D60" i="105"/>
  <c r="E60" i="105"/>
  <c r="F60" i="105"/>
  <c r="G60" i="105"/>
  <c r="H60" i="105"/>
  <c r="I60" i="105"/>
  <c r="J60" i="105"/>
  <c r="M60" i="105"/>
  <c r="O60" i="111" s="1"/>
  <c r="N60" i="105"/>
  <c r="P60" i="111" s="1"/>
  <c r="O60" i="105"/>
  <c r="P60" i="105"/>
  <c r="Q60" i="105"/>
  <c r="R60" i="105"/>
  <c r="S60" i="105"/>
  <c r="T60" i="105"/>
  <c r="C60" i="105"/>
  <c r="D56" i="105"/>
  <c r="E56" i="105"/>
  <c r="F56" i="105"/>
  <c r="G56" i="105"/>
  <c r="H56" i="105"/>
  <c r="H63" i="105" s="1"/>
  <c r="H68" i="105" s="1"/>
  <c r="I56" i="105"/>
  <c r="I63" i="105" s="1"/>
  <c r="J56" i="105"/>
  <c r="J63" i="105" s="1"/>
  <c r="J68" i="105" s="1"/>
  <c r="M56" i="105"/>
  <c r="O56" i="111" s="1"/>
  <c r="N56" i="105"/>
  <c r="P56" i="111" s="1"/>
  <c r="O56" i="105"/>
  <c r="O63" i="105" s="1"/>
  <c r="P56" i="105"/>
  <c r="P63" i="105" s="1"/>
  <c r="Q56" i="105"/>
  <c r="Q63" i="105" s="1"/>
  <c r="Q68" i="105" s="1"/>
  <c r="R56" i="105"/>
  <c r="S56" i="105"/>
  <c r="S63" i="105" s="1"/>
  <c r="T56" i="105"/>
  <c r="C56" i="105"/>
  <c r="D33" i="105"/>
  <c r="D63" i="105" s="1"/>
  <c r="D68" i="105" s="1"/>
  <c r="E33" i="105"/>
  <c r="E63" i="105" s="1"/>
  <c r="F33" i="105"/>
  <c r="F63" i="105" s="1"/>
  <c r="F68" i="105" s="1"/>
  <c r="G63" i="105"/>
  <c r="C33" i="105"/>
  <c r="Q7" i="107"/>
  <c r="Q9" i="107"/>
  <c r="Q11" i="107"/>
  <c r="Q13" i="107"/>
  <c r="Q14" i="107"/>
  <c r="Q15" i="107"/>
  <c r="Q16" i="107"/>
  <c r="Q17" i="107"/>
  <c r="Q18" i="107"/>
  <c r="Q19" i="107"/>
  <c r="Q21" i="107"/>
  <c r="Q22" i="107"/>
  <c r="Q25" i="107"/>
  <c r="Q26" i="107"/>
  <c r="Q27" i="107"/>
  <c r="Q28" i="107"/>
  <c r="Q29" i="107"/>
  <c r="Q30" i="107"/>
  <c r="Q31" i="107"/>
  <c r="Q34" i="107"/>
  <c r="Q35" i="107"/>
  <c r="Q36" i="107"/>
  <c r="Q37" i="107"/>
  <c r="Q38" i="107"/>
  <c r="Q39" i="107"/>
  <c r="Q40" i="107"/>
  <c r="Q41" i="107"/>
  <c r="Q42" i="107"/>
  <c r="Q43" i="107"/>
  <c r="Q45" i="107"/>
  <c r="Q46" i="107"/>
  <c r="Q47" i="107"/>
  <c r="Q48" i="107"/>
  <c r="Q49" i="107"/>
  <c r="Q50" i="107"/>
  <c r="Q51" i="107"/>
  <c r="Q53" i="107"/>
  <c r="Q54" i="107"/>
  <c r="Q58" i="107"/>
  <c r="Q61" i="107"/>
  <c r="Q59" i="107"/>
  <c r="C62" i="107"/>
  <c r="C60" i="107"/>
  <c r="C56" i="107"/>
  <c r="C33" i="107"/>
  <c r="T57" i="103"/>
  <c r="T58" i="103"/>
  <c r="T59" i="103"/>
  <c r="T61" i="103"/>
  <c r="T34" i="103"/>
  <c r="T35" i="103"/>
  <c r="T36" i="103"/>
  <c r="T37" i="103"/>
  <c r="T38" i="103"/>
  <c r="T39" i="103"/>
  <c r="T40" i="103"/>
  <c r="T41" i="103"/>
  <c r="T42" i="103"/>
  <c r="T43" i="103"/>
  <c r="T45" i="103"/>
  <c r="T47" i="103"/>
  <c r="T48" i="103"/>
  <c r="T49" i="103"/>
  <c r="T50" i="103"/>
  <c r="T51" i="103"/>
  <c r="T53" i="103"/>
  <c r="T54" i="103"/>
  <c r="T7" i="103"/>
  <c r="T8" i="103"/>
  <c r="T9" i="103"/>
  <c r="T10" i="103"/>
  <c r="T11" i="103"/>
  <c r="T12" i="103"/>
  <c r="T13" i="103"/>
  <c r="T14" i="103"/>
  <c r="T15" i="103"/>
  <c r="T16" i="103"/>
  <c r="T17" i="103"/>
  <c r="T18" i="103"/>
  <c r="T19" i="103"/>
  <c r="T21" i="103"/>
  <c r="T22" i="103"/>
  <c r="T23" i="103"/>
  <c r="T25" i="103"/>
  <c r="T26" i="103"/>
  <c r="T27" i="103"/>
  <c r="T28" i="103"/>
  <c r="T29" i="103"/>
  <c r="T30" i="103"/>
  <c r="T31" i="103"/>
  <c r="T32" i="103"/>
  <c r="T20" i="103"/>
  <c r="T44" i="103"/>
  <c r="T46" i="103"/>
  <c r="T55" i="103"/>
  <c r="N6" i="103"/>
  <c r="M6" i="103"/>
  <c r="D62" i="103"/>
  <c r="E62" i="103"/>
  <c r="F62" i="103"/>
  <c r="G62" i="103"/>
  <c r="H62" i="103"/>
  <c r="I62" i="103"/>
  <c r="J62" i="103"/>
  <c r="K62" i="103"/>
  <c r="L62" i="103"/>
  <c r="C62" i="103"/>
  <c r="D60" i="103"/>
  <c r="E60" i="103"/>
  <c r="F60" i="103"/>
  <c r="G60" i="103"/>
  <c r="H60" i="103"/>
  <c r="I60" i="103"/>
  <c r="J60" i="103"/>
  <c r="K60" i="103"/>
  <c r="L60" i="103"/>
  <c r="C60" i="103"/>
  <c r="D56" i="103"/>
  <c r="E56" i="103"/>
  <c r="F56" i="103"/>
  <c r="G56" i="103"/>
  <c r="H56" i="103"/>
  <c r="I56" i="103"/>
  <c r="J56" i="103"/>
  <c r="K56" i="103"/>
  <c r="L56" i="103"/>
  <c r="C56" i="103"/>
  <c r="C33" i="103"/>
  <c r="M33" i="103" s="1"/>
  <c r="P68" i="105" l="1"/>
  <c r="H77" i="107"/>
  <c r="H79" i="107" s="1"/>
  <c r="M60" i="103"/>
  <c r="Q57" i="107"/>
  <c r="U62" i="105"/>
  <c r="Q32" i="107"/>
  <c r="P33" i="107"/>
  <c r="W33" i="105" s="1"/>
  <c r="U60" i="105"/>
  <c r="R63" i="105"/>
  <c r="R68" i="105" s="1"/>
  <c r="U56" i="105"/>
  <c r="V33" i="105"/>
  <c r="N60" i="103"/>
  <c r="T60" i="103" s="1"/>
  <c r="C63" i="107"/>
  <c r="C63" i="105"/>
  <c r="U33" i="105"/>
  <c r="M62" i="103"/>
  <c r="T6" i="103"/>
  <c r="V56" i="105"/>
  <c r="V60" i="105"/>
  <c r="V62" i="105"/>
  <c r="M56" i="103"/>
  <c r="N56" i="103"/>
  <c r="P56" i="107" s="1"/>
  <c r="W56" i="105" s="1"/>
  <c r="N62" i="103"/>
  <c r="P60" i="107"/>
  <c r="W60" i="105" s="1"/>
  <c r="N63" i="107"/>
  <c r="Z44" i="105"/>
  <c r="Z7" i="105"/>
  <c r="Z29" i="105"/>
  <c r="Z14" i="105"/>
  <c r="Z16" i="105"/>
  <c r="Z57" i="105"/>
  <c r="Z54" i="105"/>
  <c r="Z27" i="105"/>
  <c r="Z11" i="105"/>
  <c r="Z30" i="105"/>
  <c r="Z23" i="105"/>
  <c r="Z8" i="105"/>
  <c r="Z38" i="105"/>
  <c r="Z34" i="105"/>
  <c r="Z31" i="105"/>
  <c r="E10" i="15"/>
  <c r="E8" i="15"/>
  <c r="Z58" i="105"/>
  <c r="Z51" i="105"/>
  <c r="Z47" i="105"/>
  <c r="Z43" i="105"/>
  <c r="Z39" i="105"/>
  <c r="Z35" i="105"/>
  <c r="Q8" i="107"/>
  <c r="Q10" i="107"/>
  <c r="Q12" i="107"/>
  <c r="Z12" i="105"/>
  <c r="N63" i="105"/>
  <c r="M63" i="105"/>
  <c r="Z45" i="105"/>
  <c r="Q55" i="107"/>
  <c r="Z55" i="105"/>
  <c r="Z61" i="105"/>
  <c r="Z17" i="105"/>
  <c r="Z53" i="105"/>
  <c r="Z37" i="105"/>
  <c r="Z28" i="105"/>
  <c r="Z49" i="105"/>
  <c r="Z24" i="105"/>
  <c r="T24" i="103"/>
  <c r="Q24" i="107"/>
  <c r="Z59" i="105"/>
  <c r="Q52" i="107"/>
  <c r="Z52" i="105"/>
  <c r="T52" i="103"/>
  <c r="Z50" i="105"/>
  <c r="Z46" i="105"/>
  <c r="Z42" i="105"/>
  <c r="T63" i="105"/>
  <c r="T68" i="105" s="1"/>
  <c r="Z32" i="105"/>
  <c r="Z26" i="105"/>
  <c r="Q23" i="107"/>
  <c r="Z22" i="105"/>
  <c r="Z19" i="105"/>
  <c r="Z18" i="105"/>
  <c r="Z10" i="105"/>
  <c r="K63" i="103"/>
  <c r="G63" i="103"/>
  <c r="T33" i="103"/>
  <c r="L63" i="103"/>
  <c r="H63" i="103"/>
  <c r="H67" i="103" s="1"/>
  <c r="D63" i="103"/>
  <c r="J63" i="103"/>
  <c r="F63" i="103"/>
  <c r="F67" i="103" s="1"/>
  <c r="C63" i="103"/>
  <c r="I63" i="103"/>
  <c r="E63" i="103"/>
  <c r="F77" i="107" l="1"/>
  <c r="F79" i="107" s="1"/>
  <c r="F84" i="107"/>
  <c r="F88" i="107" s="1"/>
  <c r="F81" i="107"/>
  <c r="O63" i="111"/>
  <c r="E81" i="107"/>
  <c r="N80" i="105"/>
  <c r="P63" i="111"/>
  <c r="P62" i="107"/>
  <c r="W62" i="105" s="1"/>
  <c r="X62" i="105" s="1"/>
  <c r="T62" i="103"/>
  <c r="M73" i="103"/>
  <c r="M74" i="103" s="1"/>
  <c r="M71" i="103"/>
  <c r="D67" i="103"/>
  <c r="I72" i="107"/>
  <c r="I73" i="107" s="1"/>
  <c r="M80" i="105"/>
  <c r="L67" i="103"/>
  <c r="J67" i="103"/>
  <c r="N67" i="107"/>
  <c r="X33" i="105"/>
  <c r="F70" i="107"/>
  <c r="F72" i="107" s="1"/>
  <c r="F73" i="107" s="1"/>
  <c r="N68" i="105"/>
  <c r="X60" i="105"/>
  <c r="U63" i="105"/>
  <c r="T56" i="103"/>
  <c r="M63" i="103"/>
  <c r="V63" i="105"/>
  <c r="V68" i="105" s="1"/>
  <c r="X56" i="105"/>
  <c r="N63" i="103"/>
  <c r="Q44" i="107"/>
  <c r="Z20" i="105"/>
  <c r="Q20" i="107"/>
  <c r="M6" i="9"/>
  <c r="N6" i="9" s="1"/>
  <c r="K7" i="9"/>
  <c r="L7" i="9" s="1"/>
  <c r="K8" i="9"/>
  <c r="L8" i="9" s="1"/>
  <c r="K9" i="9"/>
  <c r="L9" i="9" s="1"/>
  <c r="K10" i="9"/>
  <c r="L10" i="9" s="1"/>
  <c r="K11" i="9"/>
  <c r="L11" i="9" s="1"/>
  <c r="K12" i="9"/>
  <c r="L12" i="9" s="1"/>
  <c r="K13" i="9"/>
  <c r="L13" i="9" s="1"/>
  <c r="K14" i="9"/>
  <c r="L14" i="9" s="1"/>
  <c r="K15" i="9"/>
  <c r="L15" i="9" s="1"/>
  <c r="K16" i="9"/>
  <c r="L16" i="9" s="1"/>
  <c r="K17" i="9"/>
  <c r="L17" i="9" s="1"/>
  <c r="K18" i="9"/>
  <c r="L18" i="9" s="1"/>
  <c r="K19" i="9"/>
  <c r="L19" i="9" s="1"/>
  <c r="K20" i="9"/>
  <c r="L20" i="9" s="1"/>
  <c r="K21" i="9"/>
  <c r="L21" i="9" s="1"/>
  <c r="K22" i="9"/>
  <c r="L22" i="9" s="1"/>
  <c r="K23" i="9"/>
  <c r="L23" i="9" s="1"/>
  <c r="K24" i="9"/>
  <c r="L24" i="9" s="1"/>
  <c r="K25" i="9"/>
  <c r="L25" i="9" s="1"/>
  <c r="K26" i="9"/>
  <c r="L26" i="9" s="1"/>
  <c r="K27" i="9"/>
  <c r="L27" i="9" s="1"/>
  <c r="K28" i="9"/>
  <c r="L28" i="9" s="1"/>
  <c r="K29" i="9"/>
  <c r="L29" i="9" s="1"/>
  <c r="K30" i="9"/>
  <c r="L30" i="9" s="1"/>
  <c r="K31" i="9"/>
  <c r="L31" i="9" s="1"/>
  <c r="K32" i="9"/>
  <c r="L32" i="9" s="1"/>
  <c r="K34" i="9"/>
  <c r="L34" i="9" s="1"/>
  <c r="K35" i="9"/>
  <c r="L35" i="9" s="1"/>
  <c r="K36" i="9"/>
  <c r="L36" i="9" s="1"/>
  <c r="K37" i="9"/>
  <c r="L37" i="9" s="1"/>
  <c r="K38" i="9"/>
  <c r="L38" i="9" s="1"/>
  <c r="K39" i="9"/>
  <c r="L39" i="9" s="1"/>
  <c r="K40" i="9"/>
  <c r="L40" i="9" s="1"/>
  <c r="K41" i="9"/>
  <c r="L41" i="9" s="1"/>
  <c r="K42" i="9"/>
  <c r="L42" i="9" s="1"/>
  <c r="K43" i="9"/>
  <c r="L43" i="9" s="1"/>
  <c r="K44" i="9"/>
  <c r="L44" i="9" s="1"/>
  <c r="K45" i="9"/>
  <c r="L45" i="9" s="1"/>
  <c r="K46" i="9"/>
  <c r="L46" i="9" s="1"/>
  <c r="K47" i="9"/>
  <c r="L47" i="9" s="1"/>
  <c r="K48" i="9"/>
  <c r="L48" i="9" s="1"/>
  <c r="K49" i="9"/>
  <c r="L49" i="9" s="1"/>
  <c r="K50" i="9"/>
  <c r="L50" i="9" s="1"/>
  <c r="K51" i="9"/>
  <c r="L51" i="9" s="1"/>
  <c r="K52" i="9"/>
  <c r="L52" i="9" s="1"/>
  <c r="K53" i="9"/>
  <c r="L53" i="9" s="1"/>
  <c r="K54" i="9"/>
  <c r="L54" i="9" s="1"/>
  <c r="K55" i="9"/>
  <c r="L55" i="9" s="1"/>
  <c r="K57" i="9"/>
  <c r="L57" i="9" s="1"/>
  <c r="K58" i="9"/>
  <c r="L58" i="9" s="1"/>
  <c r="K59" i="9"/>
  <c r="L59" i="9" s="1"/>
  <c r="K61" i="9"/>
  <c r="L61" i="9" s="1"/>
  <c r="K6" i="9"/>
  <c r="L6" i="9" s="1"/>
  <c r="T63" i="103" l="1"/>
  <c r="N67" i="103"/>
  <c r="K12" i="104"/>
  <c r="C33" i="104"/>
  <c r="K33" i="104" s="1"/>
  <c r="M61" i="104"/>
  <c r="C62" i="104"/>
  <c r="K62" i="104" s="1"/>
  <c r="C60" i="104"/>
  <c r="K60" i="104" s="1"/>
  <c r="C56" i="104"/>
  <c r="K56" i="104" s="1"/>
  <c r="E44" i="15"/>
  <c r="L6" i="104"/>
  <c r="K6" i="104"/>
  <c r="R6" i="104" l="1"/>
  <c r="T6" i="104" s="1"/>
  <c r="Q6" i="78"/>
  <c r="O6" i="107"/>
  <c r="E6" i="15" s="1"/>
  <c r="Q6" i="104"/>
  <c r="O62" i="107"/>
  <c r="Q62" i="104"/>
  <c r="O60" i="107"/>
  <c r="E60" i="15" s="1"/>
  <c r="Q60" i="104"/>
  <c r="O56" i="107"/>
  <c r="Q56" i="104"/>
  <c r="O33" i="107"/>
  <c r="E33" i="15" s="1"/>
  <c r="Q33" i="104"/>
  <c r="O12" i="107"/>
  <c r="E12" i="15" s="1"/>
  <c r="Q12" i="104"/>
  <c r="P6" i="107"/>
  <c r="L63" i="104"/>
  <c r="E62" i="15"/>
  <c r="E61" i="15"/>
  <c r="C63" i="104"/>
  <c r="K63" i="104" s="1"/>
  <c r="M59" i="104"/>
  <c r="M54" i="104"/>
  <c r="M50" i="104"/>
  <c r="M48" i="104"/>
  <c r="M44" i="104"/>
  <c r="M42" i="104"/>
  <c r="M38" i="104"/>
  <c r="M36" i="104"/>
  <c r="M26" i="104"/>
  <c r="M22" i="104"/>
  <c r="M30" i="104"/>
  <c r="M28" i="104"/>
  <c r="M18" i="104"/>
  <c r="M14" i="104"/>
  <c r="M9" i="104"/>
  <c r="M7" i="104"/>
  <c r="M6" i="104"/>
  <c r="M57" i="104"/>
  <c r="M52" i="104"/>
  <c r="M46" i="104"/>
  <c r="M40" i="104"/>
  <c r="M34" i="104"/>
  <c r="M24" i="104"/>
  <c r="M32" i="104"/>
  <c r="M20" i="104"/>
  <c r="M16" i="104"/>
  <c r="M12" i="104"/>
  <c r="M58" i="104"/>
  <c r="M55" i="104"/>
  <c r="M53" i="104"/>
  <c r="M51" i="104"/>
  <c r="M49" i="104"/>
  <c r="M47" i="104"/>
  <c r="M45" i="104"/>
  <c r="M43" i="104"/>
  <c r="M41" i="104"/>
  <c r="M39" i="104"/>
  <c r="M37" i="104"/>
  <c r="M35" i="104"/>
  <c r="M27" i="104"/>
  <c r="M25" i="104"/>
  <c r="M23" i="104"/>
  <c r="M11" i="104"/>
  <c r="M31" i="104"/>
  <c r="M29" i="104"/>
  <c r="M21" i="104"/>
  <c r="M19" i="104"/>
  <c r="M17" i="104"/>
  <c r="M15" i="104"/>
  <c r="M13" i="104"/>
  <c r="M10" i="104"/>
  <c r="M8" i="104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7" i="9"/>
  <c r="G58" i="9"/>
  <c r="G59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7" i="9"/>
  <c r="H58" i="9"/>
  <c r="H59" i="9"/>
  <c r="H61" i="9"/>
  <c r="H6" i="9"/>
  <c r="G6" i="9"/>
  <c r="D71" i="78" l="1"/>
  <c r="Q63" i="78"/>
  <c r="O63" i="107"/>
  <c r="U71" i="105" s="1"/>
  <c r="V71" i="105" s="1"/>
  <c r="V73" i="105" s="1"/>
  <c r="Q63" i="104"/>
  <c r="R63" i="104"/>
  <c r="T63" i="104" s="1"/>
  <c r="W6" i="105"/>
  <c r="X6" i="105" s="1"/>
  <c r="Z6" i="105" s="1"/>
  <c r="Q6" i="107"/>
  <c r="P63" i="107"/>
  <c r="E56" i="15"/>
  <c r="S33" i="106"/>
  <c r="E56" i="7"/>
  <c r="E33" i="7"/>
  <c r="D62" i="7"/>
  <c r="E62" i="7"/>
  <c r="G62" i="7"/>
  <c r="H62" i="7"/>
  <c r="C62" i="7"/>
  <c r="D60" i="7"/>
  <c r="E60" i="7"/>
  <c r="F60" i="7"/>
  <c r="G60" i="7"/>
  <c r="H60" i="7"/>
  <c r="C60" i="7"/>
  <c r="D56" i="7"/>
  <c r="F56" i="7"/>
  <c r="G56" i="7"/>
  <c r="H56" i="7"/>
  <c r="C56" i="7"/>
  <c r="D33" i="7"/>
  <c r="F33" i="7"/>
  <c r="G33" i="7"/>
  <c r="H33" i="7"/>
  <c r="C33" i="7"/>
  <c r="E63" i="15" l="1"/>
  <c r="K62" i="9"/>
  <c r="L62" i="9" s="1"/>
  <c r="M33" i="9"/>
  <c r="N33" i="9" s="1"/>
  <c r="W63" i="105"/>
  <c r="X63" i="105" s="1"/>
  <c r="P67" i="107"/>
  <c r="K33" i="9"/>
  <c r="L33" i="9" s="1"/>
  <c r="M56" i="9"/>
  <c r="N56" i="9" s="1"/>
  <c r="M60" i="9"/>
  <c r="N60" i="9" s="1"/>
  <c r="G63" i="7"/>
  <c r="K60" i="9"/>
  <c r="L60" i="9" s="1"/>
  <c r="J56" i="9"/>
  <c r="Y62" i="105"/>
  <c r="Z62" i="105" s="1"/>
  <c r="F62" i="15"/>
  <c r="G62" i="15" s="1"/>
  <c r="S56" i="106"/>
  <c r="Y56" i="105"/>
  <c r="Z56" i="105" s="1"/>
  <c r="F56" i="15"/>
  <c r="G56" i="15" s="1"/>
  <c r="S60" i="106"/>
  <c r="Y60" i="105"/>
  <c r="Z60" i="105" s="1"/>
  <c r="F60" i="15"/>
  <c r="G60" i="15" s="1"/>
  <c r="J60" i="9"/>
  <c r="K56" i="9"/>
  <c r="L56" i="9" s="1"/>
  <c r="S62" i="106"/>
  <c r="Q60" i="107"/>
  <c r="M60" i="104"/>
  <c r="Q56" i="107"/>
  <c r="Q33" i="107"/>
  <c r="Z33" i="105"/>
  <c r="M33" i="104"/>
  <c r="Q62" i="107"/>
  <c r="M62" i="104"/>
  <c r="M56" i="104"/>
  <c r="G33" i="9"/>
  <c r="H33" i="9"/>
  <c r="H62" i="9"/>
  <c r="H60" i="9"/>
  <c r="H56" i="9"/>
  <c r="C63" i="7"/>
  <c r="H63" i="7"/>
  <c r="D63" i="7"/>
  <c r="E63" i="7"/>
  <c r="F63" i="15" l="1"/>
  <c r="G63" i="15" s="1"/>
  <c r="Y63" i="105"/>
  <c r="Z63" i="105" s="1"/>
  <c r="S63" i="106"/>
  <c r="M63" i="104"/>
  <c r="Q63" i="107"/>
  <c r="Q67" i="107" s="1"/>
  <c r="K63" i="9"/>
  <c r="L63" i="9" s="1"/>
  <c r="H63" i="9"/>
  <c r="G60" i="3"/>
  <c r="M60" i="3" s="1"/>
  <c r="G58" i="3"/>
  <c r="M58" i="3" s="1"/>
  <c r="G54" i="3"/>
  <c r="M54" i="3" s="1"/>
  <c r="G31" i="3"/>
  <c r="M31" i="3" s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2" i="3"/>
  <c r="J32" i="3" s="1"/>
  <c r="F33" i="3"/>
  <c r="J33" i="3" s="1"/>
  <c r="F34" i="3"/>
  <c r="J34" i="3" s="1"/>
  <c r="F35" i="3"/>
  <c r="J35" i="3" s="1"/>
  <c r="F36" i="3"/>
  <c r="J36" i="3" s="1"/>
  <c r="F37" i="3"/>
  <c r="J37" i="3" s="1"/>
  <c r="F38" i="3"/>
  <c r="J38" i="3" s="1"/>
  <c r="F39" i="3"/>
  <c r="J39" i="3" s="1"/>
  <c r="F40" i="3"/>
  <c r="J40" i="3" s="1"/>
  <c r="F41" i="3"/>
  <c r="J41" i="3" s="1"/>
  <c r="F42" i="3"/>
  <c r="J42" i="3" s="1"/>
  <c r="F43" i="3"/>
  <c r="J43" i="3" s="1"/>
  <c r="F44" i="3"/>
  <c r="J44" i="3" s="1"/>
  <c r="F45" i="3"/>
  <c r="J45" i="3" s="1"/>
  <c r="F46" i="3"/>
  <c r="J46" i="3" s="1"/>
  <c r="F47" i="3"/>
  <c r="J47" i="3" s="1"/>
  <c r="F48" i="3"/>
  <c r="J48" i="3" s="1"/>
  <c r="F49" i="3"/>
  <c r="J49" i="3" s="1"/>
  <c r="F50" i="3"/>
  <c r="J50" i="3" s="1"/>
  <c r="F51" i="3"/>
  <c r="J51" i="3" s="1"/>
  <c r="F52" i="3"/>
  <c r="J52" i="3" s="1"/>
  <c r="F53" i="3"/>
  <c r="J53" i="3" s="1"/>
  <c r="F55" i="3"/>
  <c r="J55" i="3" s="1"/>
  <c r="F56" i="3"/>
  <c r="J56" i="3" s="1"/>
  <c r="F57" i="3"/>
  <c r="J57" i="3" s="1"/>
  <c r="F59" i="3"/>
  <c r="J59" i="3" s="1"/>
  <c r="F4" i="3"/>
  <c r="J28" i="3" l="1"/>
  <c r="J20" i="3"/>
  <c r="J8" i="3"/>
  <c r="J30" i="3"/>
  <c r="J26" i="3"/>
  <c r="J22" i="3"/>
  <c r="J18" i="3"/>
  <c r="J14" i="3"/>
  <c r="J10" i="3"/>
  <c r="J6" i="3"/>
  <c r="J4" i="3"/>
  <c r="J29" i="3"/>
  <c r="J25" i="3"/>
  <c r="J21" i="3"/>
  <c r="J17" i="3"/>
  <c r="J13" i="3"/>
  <c r="J9" i="3"/>
  <c r="J5" i="3"/>
  <c r="J24" i="3"/>
  <c r="J16" i="3"/>
  <c r="J12" i="3"/>
  <c r="J27" i="3"/>
  <c r="J23" i="3"/>
  <c r="J19" i="3"/>
  <c r="J15" i="3"/>
  <c r="J11" i="3"/>
  <c r="J7" i="3"/>
  <c r="F60" i="3"/>
  <c r="J60" i="3" s="1"/>
  <c r="F58" i="3"/>
  <c r="J58" i="3" s="1"/>
  <c r="G61" i="3"/>
  <c r="M61" i="3" s="1"/>
  <c r="F54" i="3"/>
  <c r="J54" i="3" s="1"/>
  <c r="F31" i="3"/>
  <c r="J31" i="3" s="1"/>
  <c r="D60" i="3"/>
  <c r="E60" i="3"/>
  <c r="C60" i="3"/>
  <c r="D58" i="3"/>
  <c r="E58" i="3"/>
  <c r="C58" i="3"/>
  <c r="D54" i="3"/>
  <c r="E54" i="3"/>
  <c r="C54" i="3"/>
  <c r="D31" i="3"/>
  <c r="E31" i="3"/>
  <c r="C31" i="3"/>
  <c r="F61" i="3" l="1"/>
  <c r="E61" i="3"/>
  <c r="C61" i="3"/>
  <c r="D61" i="3"/>
  <c r="H20" i="15"/>
  <c r="I20" i="15" s="1"/>
  <c r="H25" i="15"/>
  <c r="I25" i="15" s="1"/>
  <c r="H38" i="15"/>
  <c r="I38" i="15" s="1"/>
  <c r="H55" i="15"/>
  <c r="I55" i="15" s="1"/>
  <c r="H54" i="15"/>
  <c r="I54" i="15" s="1"/>
  <c r="H53" i="15"/>
  <c r="I53" i="15" s="1"/>
  <c r="H50" i="15"/>
  <c r="I50" i="15" s="1"/>
  <c r="H48" i="15"/>
  <c r="I48" i="15" s="1"/>
  <c r="H43" i="15"/>
  <c r="I43" i="15" s="1"/>
  <c r="H36" i="15"/>
  <c r="I36" i="15" s="1"/>
  <c r="H30" i="15"/>
  <c r="I30" i="15" s="1"/>
  <c r="H15" i="15"/>
  <c r="I15" i="15" s="1"/>
  <c r="H11" i="15"/>
  <c r="I11" i="15" s="1"/>
  <c r="H9" i="15"/>
  <c r="I9" i="15" s="1"/>
  <c r="H7" i="15"/>
  <c r="I7" i="15" s="1"/>
  <c r="H42" i="15"/>
  <c r="I42" i="15" s="1"/>
  <c r="H31" i="15"/>
  <c r="I31" i="15" s="1"/>
  <c r="H13" i="15"/>
  <c r="I13" i="15" s="1"/>
  <c r="P10" i="85"/>
  <c r="H8" i="15"/>
  <c r="I8" i="15" s="1"/>
  <c r="K44" i="7"/>
  <c r="I45" i="7"/>
  <c r="J45" i="7"/>
  <c r="K45" i="7"/>
  <c r="Q55" i="93"/>
  <c r="Q48" i="93"/>
  <c r="Q47" i="93"/>
  <c r="Q45" i="93"/>
  <c r="Q40" i="93"/>
  <c r="Q39" i="93"/>
  <c r="Q32" i="93"/>
  <c r="Q28" i="93"/>
  <c r="Q26" i="93"/>
  <c r="Q25" i="93"/>
  <c r="Q23" i="93"/>
  <c r="Q22" i="93"/>
  <c r="Q21" i="93"/>
  <c r="Q18" i="93"/>
  <c r="Q17" i="93"/>
  <c r="Q14" i="93"/>
  <c r="Q13" i="93"/>
  <c r="Q12" i="93"/>
  <c r="Q11" i="93"/>
  <c r="Q10" i="93"/>
  <c r="Q9" i="93"/>
  <c r="Q7" i="93"/>
  <c r="P6" i="93"/>
  <c r="O6" i="93"/>
  <c r="I59" i="73"/>
  <c r="D59" i="73"/>
  <c r="C59" i="73"/>
  <c r="M59" i="108" s="1"/>
  <c r="O59" i="109" s="1"/>
  <c r="H58" i="73"/>
  <c r="H60" i="73" s="1"/>
  <c r="H63" i="73" s="1"/>
  <c r="D58" i="73"/>
  <c r="C58" i="73"/>
  <c r="L6" i="73"/>
  <c r="G6" i="73"/>
  <c r="K18" i="7"/>
  <c r="K26" i="7"/>
  <c r="I60" i="7"/>
  <c r="K60" i="7"/>
  <c r="I33" i="7"/>
  <c r="K53" i="7"/>
  <c r="K52" i="7"/>
  <c r="K7" i="7"/>
  <c r="K9" i="7"/>
  <c r="K10" i="7"/>
  <c r="K11" i="7"/>
  <c r="K12" i="7"/>
  <c r="K13" i="7"/>
  <c r="K14" i="7"/>
  <c r="K15" i="7"/>
  <c r="K16" i="7"/>
  <c r="K17" i="7"/>
  <c r="K19" i="7"/>
  <c r="K20" i="7"/>
  <c r="K21" i="7"/>
  <c r="K27" i="7"/>
  <c r="K28" i="7"/>
  <c r="K29" i="7"/>
  <c r="K30" i="7"/>
  <c r="K32" i="7"/>
  <c r="K34" i="7"/>
  <c r="K35" i="7"/>
  <c r="K36" i="7"/>
  <c r="K37" i="7"/>
  <c r="K38" i="7"/>
  <c r="K39" i="7"/>
  <c r="K40" i="7"/>
  <c r="K41" i="7"/>
  <c r="K42" i="7"/>
  <c r="K46" i="7"/>
  <c r="K57" i="7"/>
  <c r="K58" i="7"/>
  <c r="K59" i="7"/>
  <c r="K61" i="7"/>
  <c r="J7" i="7"/>
  <c r="J8" i="7"/>
  <c r="J9" i="7"/>
  <c r="J10" i="7"/>
  <c r="J12" i="7"/>
  <c r="J13" i="7"/>
  <c r="J14" i="7"/>
  <c r="J15" i="7"/>
  <c r="J16" i="7"/>
  <c r="J17" i="7"/>
  <c r="J18" i="7"/>
  <c r="J19" i="7"/>
  <c r="J20" i="7"/>
  <c r="J21" i="7"/>
  <c r="J27" i="7"/>
  <c r="J28" i="7"/>
  <c r="J29" i="7"/>
  <c r="J30" i="7"/>
  <c r="J32" i="7"/>
  <c r="J34" i="7"/>
  <c r="J35" i="7"/>
  <c r="J42" i="7"/>
  <c r="J43" i="7"/>
  <c r="J57" i="7"/>
  <c r="J58" i="7"/>
  <c r="J59" i="7"/>
  <c r="J61" i="7"/>
  <c r="I8" i="7"/>
  <c r="I9" i="7"/>
  <c r="I10" i="7"/>
  <c r="I12" i="7"/>
  <c r="I13" i="7"/>
  <c r="I14" i="7"/>
  <c r="I15" i="7"/>
  <c r="I16" i="7"/>
  <c r="I18" i="7"/>
  <c r="I19" i="7"/>
  <c r="I20" i="7"/>
  <c r="I21" i="7"/>
  <c r="I27" i="7"/>
  <c r="I28" i="7"/>
  <c r="I29" i="7"/>
  <c r="I30" i="7"/>
  <c r="I32" i="7"/>
  <c r="I34" i="7"/>
  <c r="I35" i="7"/>
  <c r="I42" i="7"/>
  <c r="I43" i="7"/>
  <c r="I57" i="7"/>
  <c r="I58" i="7"/>
  <c r="I59" i="7"/>
  <c r="J6" i="7"/>
  <c r="K6" i="7"/>
  <c r="I6" i="7"/>
  <c r="K24" i="7"/>
  <c r="J33" i="7"/>
  <c r="P14" i="78"/>
  <c r="O14" i="78" s="1"/>
  <c r="P17" i="78"/>
  <c r="O17" i="78" s="1"/>
  <c r="J55" i="101"/>
  <c r="I55" i="101"/>
  <c r="H55" i="101"/>
  <c r="G55" i="101"/>
  <c r="F55" i="101"/>
  <c r="E55" i="101"/>
  <c r="D55" i="101"/>
  <c r="C55" i="101"/>
  <c r="J56" i="7"/>
  <c r="H22" i="15"/>
  <c r="I22" i="15" s="1"/>
  <c r="H32" i="15"/>
  <c r="I32" i="15" s="1"/>
  <c r="H37" i="15"/>
  <c r="I37" i="15" s="1"/>
  <c r="H27" i="15"/>
  <c r="H6" i="15"/>
  <c r="I6" i="15" s="1"/>
  <c r="K62" i="7"/>
  <c r="K51" i="7"/>
  <c r="K55" i="7"/>
  <c r="K48" i="7"/>
  <c r="K54" i="7"/>
  <c r="K31" i="7"/>
  <c r="K47" i="7"/>
  <c r="K25" i="7"/>
  <c r="P36" i="78"/>
  <c r="O36" i="78" s="1"/>
  <c r="K22" i="7"/>
  <c r="D71" i="3" l="1"/>
  <c r="D65" i="3"/>
  <c r="C71" i="3"/>
  <c r="C65" i="3"/>
  <c r="E65" i="3"/>
  <c r="E71" i="3"/>
  <c r="J61" i="3"/>
  <c r="F71" i="3"/>
  <c r="F65" i="3"/>
  <c r="M58" i="108"/>
  <c r="C60" i="73"/>
  <c r="C63" i="73" s="1"/>
  <c r="N59" i="108"/>
  <c r="G59" i="73"/>
  <c r="I60" i="9"/>
  <c r="N58" i="108"/>
  <c r="D60" i="73"/>
  <c r="G58" i="73"/>
  <c r="L59" i="73"/>
  <c r="I60" i="73"/>
  <c r="I56" i="9"/>
  <c r="Q6" i="109"/>
  <c r="O33" i="93"/>
  <c r="Q6" i="93"/>
  <c r="R6" i="109"/>
  <c r="P33" i="93"/>
  <c r="Q33" i="93" s="1"/>
  <c r="P12" i="85"/>
  <c r="P16" i="85"/>
  <c r="P40" i="85"/>
  <c r="N6" i="85"/>
  <c r="P45" i="85"/>
  <c r="P14" i="85"/>
  <c r="P24" i="85"/>
  <c r="P36" i="85"/>
  <c r="P27" i="85"/>
  <c r="P8" i="85"/>
  <c r="P11" i="85"/>
  <c r="P29" i="85"/>
  <c r="P19" i="85"/>
  <c r="P41" i="85"/>
  <c r="P49" i="85"/>
  <c r="Q41" i="93"/>
  <c r="Q43" i="93"/>
  <c r="Q31" i="93"/>
  <c r="Q34" i="93"/>
  <c r="Q29" i="93"/>
  <c r="G56" i="9"/>
  <c r="G60" i="9"/>
  <c r="P32" i="78"/>
  <c r="O32" i="78" s="1"/>
  <c r="G61" i="9"/>
  <c r="P21" i="78"/>
  <c r="O21" i="78" s="1"/>
  <c r="P13" i="78"/>
  <c r="O13" i="78" s="1"/>
  <c r="P55" i="78"/>
  <c r="O55" i="78" s="1"/>
  <c r="P9" i="78"/>
  <c r="O9" i="78" s="1"/>
  <c r="P19" i="78"/>
  <c r="O19" i="78" s="1"/>
  <c r="P42" i="78"/>
  <c r="O42" i="78" s="1"/>
  <c r="P15" i="78"/>
  <c r="O15" i="78" s="1"/>
  <c r="P37" i="78"/>
  <c r="O37" i="78" s="1"/>
  <c r="J62" i="9"/>
  <c r="P26" i="78"/>
  <c r="O26" i="78" s="1"/>
  <c r="P40" i="78"/>
  <c r="O40" i="78" s="1"/>
  <c r="P28" i="78"/>
  <c r="O28" i="78" s="1"/>
  <c r="P33" i="78"/>
  <c r="O33" i="78" s="1"/>
  <c r="P43" i="78"/>
  <c r="O43" i="78" s="1"/>
  <c r="P23" i="78"/>
  <c r="O23" i="78" s="1"/>
  <c r="P46" i="78"/>
  <c r="O46" i="78" s="1"/>
  <c r="P31" i="78"/>
  <c r="O31" i="78" s="1"/>
  <c r="P29" i="78"/>
  <c r="O29" i="78" s="1"/>
  <c r="P49" i="78"/>
  <c r="O49" i="78" s="1"/>
  <c r="P10" i="78"/>
  <c r="O10" i="78" s="1"/>
  <c r="P24" i="78"/>
  <c r="O24" i="78" s="1"/>
  <c r="P50" i="78"/>
  <c r="O50" i="78" s="1"/>
  <c r="P20" i="78"/>
  <c r="O20" i="78" s="1"/>
  <c r="P8" i="78"/>
  <c r="O8" i="78" s="1"/>
  <c r="P53" i="78"/>
  <c r="O53" i="78" s="1"/>
  <c r="P44" i="78"/>
  <c r="O44" i="78" s="1"/>
  <c r="P48" i="78"/>
  <c r="O48" i="78" s="1"/>
  <c r="P6" i="78"/>
  <c r="O6" i="78" s="1"/>
  <c r="P51" i="78"/>
  <c r="O51" i="78" s="1"/>
  <c r="P35" i="78"/>
  <c r="O35" i="78" s="1"/>
  <c r="P18" i="78"/>
  <c r="O18" i="78" s="1"/>
  <c r="P30" i="78"/>
  <c r="O30" i="78" s="1"/>
  <c r="P7" i="78"/>
  <c r="O7" i="78" s="1"/>
  <c r="P11" i="78"/>
  <c r="O11" i="78" s="1"/>
  <c r="P38" i="78"/>
  <c r="O38" i="78" s="1"/>
  <c r="P39" i="78"/>
  <c r="P57" i="78"/>
  <c r="O57" i="78" s="1"/>
  <c r="J63" i="7"/>
  <c r="P58" i="78"/>
  <c r="O58" i="78" s="1"/>
  <c r="P12" i="78"/>
  <c r="O12" i="78" s="1"/>
  <c r="P45" i="78"/>
  <c r="O45" i="78" s="1"/>
  <c r="J62" i="7"/>
  <c r="Q16" i="93"/>
  <c r="Q19" i="93"/>
  <c r="Q38" i="93"/>
  <c r="Q52" i="93"/>
  <c r="K50" i="7"/>
  <c r="K43" i="7"/>
  <c r="Q46" i="93"/>
  <c r="P16" i="78"/>
  <c r="O16" i="78" s="1"/>
  <c r="K8" i="7"/>
  <c r="Q42" i="93"/>
  <c r="P54" i="78"/>
  <c r="O54" i="78" s="1"/>
  <c r="I27" i="15"/>
  <c r="P25" i="78"/>
  <c r="O25" i="78" s="1"/>
  <c r="P41" i="78"/>
  <c r="O41" i="78" s="1"/>
  <c r="J60" i="7"/>
  <c r="K23" i="7"/>
  <c r="Q49" i="93"/>
  <c r="Q51" i="93"/>
  <c r="Q56" i="93"/>
  <c r="P20" i="85"/>
  <c r="H21" i="15"/>
  <c r="I21" i="15" s="1"/>
  <c r="P44" i="85"/>
  <c r="H45" i="15"/>
  <c r="I45" i="15" s="1"/>
  <c r="P46" i="85"/>
  <c r="H47" i="15"/>
  <c r="I47" i="15" s="1"/>
  <c r="P50" i="85"/>
  <c r="H51" i="15"/>
  <c r="I51" i="15" s="1"/>
  <c r="K49" i="7"/>
  <c r="Q30" i="93"/>
  <c r="Q8" i="93"/>
  <c r="Q15" i="93"/>
  <c r="Q24" i="93"/>
  <c r="H57" i="15"/>
  <c r="I57" i="15" s="1"/>
  <c r="H33" i="15"/>
  <c r="I33" i="15" s="1"/>
  <c r="P54" i="85"/>
  <c r="P56" i="85"/>
  <c r="P47" i="78"/>
  <c r="O47" i="78" s="1"/>
  <c r="P22" i="78"/>
  <c r="O22" i="78" s="1"/>
  <c r="H58" i="15"/>
  <c r="I58" i="15" s="1"/>
  <c r="I56" i="7"/>
  <c r="Q20" i="93"/>
  <c r="H49" i="15"/>
  <c r="I49" i="15" s="1"/>
  <c r="P28" i="85"/>
  <c r="H29" i="15"/>
  <c r="I29" i="15" s="1"/>
  <c r="H10" i="15"/>
  <c r="I10" i="15" s="1"/>
  <c r="P52" i="85"/>
  <c r="Q35" i="93"/>
  <c r="Q50" i="93"/>
  <c r="P13" i="85"/>
  <c r="H14" i="15"/>
  <c r="I14" i="15" s="1"/>
  <c r="P15" i="85"/>
  <c r="H16" i="15"/>
  <c r="I16" i="15" s="1"/>
  <c r="P17" i="85"/>
  <c r="H18" i="15"/>
  <c r="I18" i="15" s="1"/>
  <c r="P23" i="85"/>
  <c r="H24" i="15"/>
  <c r="I24" i="15" s="1"/>
  <c r="P25" i="85"/>
  <c r="H26" i="15"/>
  <c r="I26" i="15" s="1"/>
  <c r="P7" i="85"/>
  <c r="H35" i="15"/>
  <c r="I35" i="15" s="1"/>
  <c r="H40" i="15"/>
  <c r="I40" i="15" s="1"/>
  <c r="H44" i="15"/>
  <c r="I44" i="15" s="1"/>
  <c r="H12" i="15"/>
  <c r="I12" i="15" s="1"/>
  <c r="P9" i="85"/>
  <c r="H17" i="15"/>
  <c r="I17" i="15" s="1"/>
  <c r="H19" i="15"/>
  <c r="I19" i="15" s="1"/>
  <c r="H23" i="15"/>
  <c r="I23" i="15" s="1"/>
  <c r="H28" i="15"/>
  <c r="I28" i="15" s="1"/>
  <c r="P34" i="85"/>
  <c r="P35" i="85"/>
  <c r="P37" i="85"/>
  <c r="P39" i="85"/>
  <c r="P42" i="85"/>
  <c r="P43" i="85"/>
  <c r="P47" i="85"/>
  <c r="P48" i="85"/>
  <c r="P53" i="85"/>
  <c r="P18" i="85"/>
  <c r="P21" i="85"/>
  <c r="P22" i="85"/>
  <c r="P30" i="85"/>
  <c r="H46" i="15"/>
  <c r="I46" i="15" s="1"/>
  <c r="H41" i="15"/>
  <c r="I41" i="15" s="1"/>
  <c r="G60" i="73" l="1"/>
  <c r="D63" i="73"/>
  <c r="P63" i="93"/>
  <c r="R33" i="109"/>
  <c r="O63" i="93"/>
  <c r="Q63" i="109" s="1"/>
  <c r="Q33" i="109"/>
  <c r="I63" i="73"/>
  <c r="L60" i="73"/>
  <c r="P58" i="109"/>
  <c r="S58" i="109" s="1"/>
  <c r="Q58" i="108"/>
  <c r="N60" i="108"/>
  <c r="P59" i="109"/>
  <c r="S59" i="109" s="1"/>
  <c r="Q59" i="108"/>
  <c r="P6" i="85"/>
  <c r="O58" i="109"/>
  <c r="M60" i="108"/>
  <c r="I62" i="9"/>
  <c r="S6" i="109"/>
  <c r="P26" i="85"/>
  <c r="P27" i="78"/>
  <c r="O27" i="78" s="1"/>
  <c r="G62" i="9"/>
  <c r="J63" i="9"/>
  <c r="P34" i="78"/>
  <c r="Q27" i="93"/>
  <c r="K56" i="7"/>
  <c r="P52" i="78"/>
  <c r="K33" i="7"/>
  <c r="H34" i="15"/>
  <c r="I34" i="15" s="1"/>
  <c r="P38" i="85"/>
  <c r="H39" i="15"/>
  <c r="I39" i="15" s="1"/>
  <c r="O39" i="78"/>
  <c r="P55" i="85"/>
  <c r="H56" i="15"/>
  <c r="I56" i="15" s="1"/>
  <c r="L63" i="73" l="1"/>
  <c r="N66" i="108"/>
  <c r="C71" i="110"/>
  <c r="C69" i="110"/>
  <c r="G63" i="73"/>
  <c r="W65" i="110"/>
  <c r="W66" i="110" s="1"/>
  <c r="O34" i="78"/>
  <c r="O56" i="78" s="1"/>
  <c r="P56" i="78"/>
  <c r="N63" i="108"/>
  <c r="N68" i="108" s="1"/>
  <c r="P60" i="109"/>
  <c r="S60" i="109" s="1"/>
  <c r="Q60" i="108"/>
  <c r="Q63" i="93"/>
  <c r="R63" i="109"/>
  <c r="D71" i="110" s="1"/>
  <c r="I63" i="9"/>
  <c r="O60" i="109"/>
  <c r="M63" i="108"/>
  <c r="O63" i="109" s="1"/>
  <c r="C65" i="110" s="1"/>
  <c r="C66" i="110" s="1"/>
  <c r="P57" i="85"/>
  <c r="S33" i="109"/>
  <c r="G63" i="9"/>
  <c r="H59" i="15"/>
  <c r="I59" i="15" s="1"/>
  <c r="P51" i="85"/>
  <c r="H52" i="15"/>
  <c r="I52" i="15" s="1"/>
  <c r="O52" i="78"/>
  <c r="K63" i="7"/>
  <c r="P63" i="109" l="1"/>
  <c r="Q63" i="108"/>
  <c r="P59" i="78"/>
  <c r="O59" i="78" s="1"/>
  <c r="D65" i="110" l="1"/>
  <c r="D66" i="110" s="1"/>
  <c r="Y66" i="110" s="1"/>
  <c r="D69" i="110"/>
  <c r="D74" i="110" s="1"/>
  <c r="S63" i="109"/>
  <c r="P58" i="85"/>
  <c r="I61" i="7"/>
  <c r="M61" i="9"/>
  <c r="N61" i="9" s="1"/>
  <c r="F62" i="7"/>
  <c r="F63" i="7" s="1"/>
  <c r="M62" i="9" l="1"/>
  <c r="N62" i="9" s="1"/>
  <c r="I62" i="7"/>
  <c r="M63" i="9"/>
  <c r="N63" i="9" s="1"/>
  <c r="I63" i="7"/>
</calcChain>
</file>

<file path=xl/sharedStrings.xml><?xml version="1.0" encoding="utf-8"?>
<sst xmlns="http://schemas.openxmlformats.org/spreadsheetml/2006/main" count="3761" uniqueCount="1270">
  <si>
    <t>TOTAL</t>
  </si>
  <si>
    <t>Total</t>
  </si>
  <si>
    <t>Sl.No.</t>
  </si>
  <si>
    <t>BANKS</t>
  </si>
  <si>
    <t>RURAL</t>
  </si>
  <si>
    <t>SEMI URBAN</t>
  </si>
  <si>
    <t>URBAN</t>
  </si>
  <si>
    <t>ATMS</t>
  </si>
  <si>
    <t>DEPOSIT</t>
  </si>
  <si>
    <t>ADVANCES</t>
  </si>
  <si>
    <t>C.D RATIO</t>
  </si>
  <si>
    <t>SEMI-URBAN</t>
  </si>
  <si>
    <t>[Amt. in lacs]</t>
  </si>
  <si>
    <t>TOTAL ADVANCES</t>
  </si>
  <si>
    <t>DEPOSITS</t>
  </si>
  <si>
    <t>TABLE-2</t>
  </si>
  <si>
    <t>A/C</t>
  </si>
  <si>
    <t>Amt.</t>
  </si>
  <si>
    <t>AGRICULTURE</t>
  </si>
  <si>
    <t>HOUSING</t>
  </si>
  <si>
    <t>EDUCATION</t>
  </si>
  <si>
    <t>TARGET</t>
  </si>
  <si>
    <t>NO.</t>
  </si>
  <si>
    <t>AMT.</t>
  </si>
  <si>
    <t>MSME</t>
  </si>
  <si>
    <t>AMOUNT DISB.</t>
  </si>
  <si>
    <t>SIKHS</t>
  </si>
  <si>
    <t>CHRISTIANS</t>
  </si>
  <si>
    <t>BUDDHISTS</t>
  </si>
  <si>
    <t>JAINS</t>
  </si>
  <si>
    <t>No.</t>
  </si>
  <si>
    <r>
      <t xml:space="preserve">SLBC Madhya Pradesh. Convenor-Central Bank of India                                                              </t>
    </r>
    <r>
      <rPr>
        <b/>
        <sz val="12"/>
        <rFont val="Times New Roman"/>
        <family val="1"/>
      </rPr>
      <t xml:space="preserve"> </t>
    </r>
  </si>
  <si>
    <t>Farm Credit</t>
  </si>
  <si>
    <t>Total Agri</t>
  </si>
  <si>
    <t>EXPORT CREDIT</t>
  </si>
  <si>
    <t>SOCIAL INFRASTRUCTURE</t>
  </si>
  <si>
    <t>RENEWABLE ENERGY</t>
  </si>
  <si>
    <t>TOTAL NPS</t>
  </si>
  <si>
    <t>OTHERS PS</t>
  </si>
  <si>
    <t>TOTAL NPA</t>
  </si>
  <si>
    <t>CMRHM TOTAL O/S</t>
  </si>
  <si>
    <t>PMEGP TOTAL O/S</t>
  </si>
  <si>
    <t>MMSY/MMYUY/MMAKY TOTAL O/S</t>
  </si>
  <si>
    <t>FARM CREDIT</t>
  </si>
  <si>
    <t>TABLE-13</t>
  </si>
  <si>
    <t>OUTSTANDING</t>
  </si>
  <si>
    <t>CMPGB</t>
  </si>
  <si>
    <t>Axis Bank</t>
  </si>
  <si>
    <t>Corporation Bank</t>
  </si>
  <si>
    <t>Dena Bank</t>
  </si>
  <si>
    <t>Vijaya Bank</t>
  </si>
  <si>
    <t>City Union Bank</t>
  </si>
  <si>
    <t>NJGB</t>
  </si>
  <si>
    <t>OTHERS</t>
  </si>
  <si>
    <t>TOTAL PRIORITY SECTOR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</si>
  <si>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</si>
  <si>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</si>
  <si>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</si>
  <si>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</si>
  <si>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</si>
  <si>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</si>
  <si>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</si>
  <si>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</si>
  <si>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</si>
  <si>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</si>
  <si>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Syndicate Bank</t>
  </si>
  <si>
    <t>Union Bank of India</t>
  </si>
  <si>
    <t>United Bank of India</t>
  </si>
  <si>
    <t>Bharatiya Mahila Bank</t>
  </si>
  <si>
    <t>S.B. of Hyderabad</t>
  </si>
  <si>
    <t>State Bank of India</t>
  </si>
  <si>
    <t>HDFC Bank</t>
  </si>
  <si>
    <t>ICICI Bank</t>
  </si>
  <si>
    <t>Kotak Mahindra Bank</t>
  </si>
  <si>
    <t>The Federal Bank Ltd.</t>
  </si>
  <si>
    <t>Ratnakar Bank</t>
  </si>
  <si>
    <t>Yes Bank</t>
  </si>
  <si>
    <t>Standard Chartered Bank</t>
  </si>
  <si>
    <t>Citi Bank</t>
  </si>
  <si>
    <t>M.P.Co-operative Bank</t>
  </si>
  <si>
    <t>Uco Bank</t>
  </si>
  <si>
    <t>IDBI Bank</t>
  </si>
  <si>
    <t>Oriental Bank of Commerce</t>
  </si>
  <si>
    <t>Punjab &amp; Sind Bank</t>
  </si>
  <si>
    <t>S.B.of Mysore</t>
  </si>
  <si>
    <t>S.B.of Patiala</t>
  </si>
  <si>
    <t>S.B.of Travancore</t>
  </si>
  <si>
    <t>S.B. of Bikaner &amp; Jaipur</t>
  </si>
  <si>
    <t>Karnataka Bank Ltd</t>
  </si>
  <si>
    <t>Dhan Laxmi Bank Ltd.</t>
  </si>
  <si>
    <t>Indusind Bank Ltd.</t>
  </si>
  <si>
    <t>Laxmi Vilas Bank Ltd.</t>
  </si>
  <si>
    <t xml:space="preserve">The Jammu &amp; Kashmir Bank </t>
  </si>
  <si>
    <t>Karur Vysya Bank</t>
  </si>
  <si>
    <t>The South Indian Bank</t>
  </si>
  <si>
    <t>DCB Bank</t>
  </si>
  <si>
    <t xml:space="preserve">M G B </t>
  </si>
  <si>
    <t>NPA%</t>
  </si>
  <si>
    <t>SLBC Madhya Pradesh Convenor: Central Bank of India    TABLE: 1</t>
  </si>
  <si>
    <t>Amount</t>
  </si>
  <si>
    <t>Banks</t>
  </si>
  <si>
    <t>RELIEF MEASURES EXTENDED BY BANKS ON ACCOUNT OF NATURAL CALAMITIES IN MADHYA PRADESH</t>
  </si>
  <si>
    <t>Year 2014-15</t>
  </si>
  <si>
    <t>Amt. In Crore</t>
  </si>
  <si>
    <t>S.No.</t>
  </si>
  <si>
    <t>Name of Bank</t>
  </si>
  <si>
    <t>Amt. Restructure / Rescheduled</t>
  </si>
  <si>
    <t>Fresh Finance / Relending provided</t>
  </si>
  <si>
    <t>No. of A/c</t>
  </si>
  <si>
    <t>Bandan Bank</t>
  </si>
  <si>
    <t xml:space="preserve">TOTAL </t>
  </si>
  <si>
    <t>TABLE: 33</t>
  </si>
  <si>
    <t>TOTAL PS NPA</t>
  </si>
  <si>
    <t>MMSY/MMYUY/MMAKY [NPA]</t>
  </si>
  <si>
    <t>PMEGP [NPA]</t>
  </si>
  <si>
    <t>CMRHM [NPA]</t>
  </si>
  <si>
    <t>NPA % OF PS ADV.</t>
  </si>
  <si>
    <t xml:space="preserve">                                                                 SLBC Madhya Pradesh. Convenor-Central Bank of India                                                               </t>
  </si>
  <si>
    <t>NPA %</t>
  </si>
  <si>
    <t>Year 2015-16 (31.03.2016)</t>
  </si>
  <si>
    <t>Sr.</t>
  </si>
  <si>
    <t>Achievement %</t>
  </si>
  <si>
    <t>Agri Infrastructure</t>
  </si>
  <si>
    <t>Ancillary Activities</t>
  </si>
  <si>
    <t>Number</t>
  </si>
  <si>
    <t>TABLE: 4</t>
  </si>
  <si>
    <t>Out of Farm Credit total Crop Loans</t>
  </si>
  <si>
    <t>Micro</t>
  </si>
  <si>
    <t>Small</t>
  </si>
  <si>
    <t>Medium</t>
  </si>
  <si>
    <t>KVIC</t>
  </si>
  <si>
    <t>Others</t>
  </si>
  <si>
    <t>Other MSME</t>
  </si>
  <si>
    <t>TABLE:5</t>
  </si>
  <si>
    <t>Amt. in Lakhs</t>
  </si>
  <si>
    <t>Export Credit</t>
  </si>
  <si>
    <t>Education</t>
  </si>
  <si>
    <t>Housing</t>
  </si>
  <si>
    <t>Social Infra</t>
  </si>
  <si>
    <t>Renewable Energy</t>
  </si>
  <si>
    <t>Total Priority Sector</t>
  </si>
  <si>
    <t>TABLE:6</t>
  </si>
  <si>
    <t>Number in Actual</t>
  </si>
  <si>
    <t>No. in actual</t>
  </si>
  <si>
    <t>TABLE:7</t>
  </si>
  <si>
    <t>Loans to small &amp; marginal farmers</t>
  </si>
  <si>
    <t>Loans to SC/ST</t>
  </si>
  <si>
    <t>Loans to SHGs</t>
  </si>
  <si>
    <t>Loans to Minority Communities</t>
  </si>
  <si>
    <t>OD under PMJDY</t>
  </si>
  <si>
    <t>Beneficiaries of DRI scheme</t>
  </si>
  <si>
    <t>Total advances to weaker sections</t>
  </si>
  <si>
    <t>% of Total Pri Sec loans to total advances</t>
  </si>
  <si>
    <t>Agriculture</t>
  </si>
  <si>
    <t>Personal loans under NPS</t>
  </si>
  <si>
    <t>Total NPS</t>
  </si>
  <si>
    <t>Total MSME</t>
  </si>
  <si>
    <t>TABLE:10</t>
  </si>
  <si>
    <t>Achievement % (Amt.)</t>
  </si>
  <si>
    <t>TARGET MSME FY 2016-17</t>
  </si>
  <si>
    <t>ACHIVEMENT</t>
  </si>
  <si>
    <t>AGRI INFRASTRUCTURE</t>
  </si>
  <si>
    <t>ANICILLARY ACTIVITIES</t>
  </si>
  <si>
    <t>TOTAL AGRICULTURE (Farm Credit+Agri Infr+Anci Acti)</t>
  </si>
  <si>
    <t>TABLE: 9(ii)</t>
  </si>
  <si>
    <t>Table: 9(i)</t>
  </si>
  <si>
    <t>TABLE:11(ii)</t>
  </si>
  <si>
    <t>TABLE:12</t>
  </si>
  <si>
    <t>Sr.No</t>
  </si>
  <si>
    <t>TABLE-14</t>
  </si>
  <si>
    <t>TABLE: 15</t>
  </si>
  <si>
    <t xml:space="preserve">                                             SLBC Madhya Pradesh. Convenor Central Bank of India                                                               </t>
  </si>
  <si>
    <t>TABLE-16</t>
  </si>
  <si>
    <t>SHGs NPA</t>
  </si>
  <si>
    <t>TABLE:17</t>
  </si>
  <si>
    <t>Table: 3(i)</t>
  </si>
  <si>
    <t>To be filled by only Lead Banks of concerned Districts</t>
  </si>
  <si>
    <t>DISTRICTS</t>
  </si>
  <si>
    <t>TABLE-19</t>
  </si>
  <si>
    <t>MUSLIMS</t>
  </si>
  <si>
    <t>ZORASTRIANS</t>
  </si>
  <si>
    <t>TABLE-20</t>
  </si>
  <si>
    <t>TABLE-21</t>
  </si>
  <si>
    <t>SCHEDULED CASTE</t>
  </si>
  <si>
    <t>SCHEDULED TRIBES</t>
  </si>
  <si>
    <t>Table: 22</t>
  </si>
  <si>
    <t>Table: 23</t>
  </si>
  <si>
    <t>of which no of loans guaranteed by  MP STATE GOVT</t>
  </si>
  <si>
    <t>A/c  </t>
  </si>
  <si>
    <t>Amount  </t>
  </si>
  <si>
    <t>A/C  </t>
  </si>
  <si>
    <r>
      <t>of which girl student</t>
    </r>
    <r>
      <rPr>
        <sz val="11"/>
        <rFont val="Times New Roman"/>
        <family val="1"/>
      </rPr>
      <t> </t>
    </r>
  </si>
  <si>
    <r>
      <t>of which Girl student</t>
    </r>
    <r>
      <rPr>
        <sz val="11"/>
        <rFont val="Times New Roman"/>
        <family val="1"/>
      </rPr>
      <t xml:space="preserve"> (out of 8 column)</t>
    </r>
  </si>
  <si>
    <r>
      <t>of Which Girl Student</t>
    </r>
    <r>
      <rPr>
        <sz val="11"/>
        <rFont val="Times New Roman"/>
        <family val="1"/>
      </rPr>
      <t> </t>
    </r>
  </si>
  <si>
    <r>
      <t> </t>
    </r>
    <r>
      <rPr>
        <sz val="11"/>
        <rFont val="Times New Roman"/>
        <family val="1"/>
      </rPr>
      <t xml:space="preserve">     </t>
    </r>
  </si>
  <si>
    <t>TABLE: 18</t>
  </si>
  <si>
    <t xml:space="preserve">Sr. No. </t>
  </si>
  <si>
    <t>APPLICATION RECEIVED DURING FY 2016-17</t>
  </si>
  <si>
    <t>Loan Disbursed</t>
  </si>
  <si>
    <t xml:space="preserve">Education Loan Outstanding </t>
  </si>
  <si>
    <t>Table: 24</t>
  </si>
  <si>
    <t>OUTSTANDING LOANS TO WOMEN</t>
  </si>
  <si>
    <t>Individual woman beneficiary upto Rs. 1 Lakh (out of total loans to women)</t>
  </si>
  <si>
    <t>TABLE: 3(i)</t>
  </si>
  <si>
    <t>Other loans to weaker sections</t>
  </si>
  <si>
    <t>CROP LOANS (Out of Farm Credit)</t>
  </si>
  <si>
    <t>Oriental Bank of Comm.</t>
  </si>
  <si>
    <t>Punjab and Sindh Bank</t>
  </si>
  <si>
    <t>S.B. of Mysore</t>
  </si>
  <si>
    <t>S.B. of Patiala</t>
  </si>
  <si>
    <t>S.B. of Travancore</t>
  </si>
  <si>
    <t>S.B.B. of Jaipur</t>
  </si>
  <si>
    <t>UCO Bank</t>
  </si>
  <si>
    <t>SUB TOTAL PSBs</t>
  </si>
  <si>
    <t>Bandhan Bank</t>
  </si>
  <si>
    <t>Catholic Syrian Bank</t>
  </si>
  <si>
    <t>Development Credit Bank</t>
  </si>
  <si>
    <t>Dhan Lakshmi Bank</t>
  </si>
  <si>
    <t>Federal Bank Ltd.</t>
  </si>
  <si>
    <t>IDFC</t>
  </si>
  <si>
    <t>Indusind Bank Limited</t>
  </si>
  <si>
    <t>Jammu and Kashmir Bank</t>
  </si>
  <si>
    <t>Karnataka Bank Limited</t>
  </si>
  <si>
    <t>Karur Vysya Bank Ltd.</t>
  </si>
  <si>
    <t>Lakshmi Vilas Bank</t>
  </si>
  <si>
    <t>Ratnakar Bank Ltd. (RBL)</t>
  </si>
  <si>
    <t>South Indian Bank</t>
  </si>
  <si>
    <t>Tamilnadu Mercantile Bank</t>
  </si>
  <si>
    <t>MGB</t>
  </si>
  <si>
    <t>SUB TOTAL RRBs</t>
  </si>
  <si>
    <t>SR</t>
  </si>
  <si>
    <t>M.P.Co-op Bank/DCCBs</t>
  </si>
  <si>
    <t>Catholic Serian Bank</t>
  </si>
  <si>
    <t xml:space="preserve">Jammu &amp; Kashmir Bank </t>
  </si>
  <si>
    <t>TamilNadu Mercantile bank</t>
  </si>
  <si>
    <t>SUB TOTAL PVT.BANKS</t>
  </si>
  <si>
    <t>SUB TOTAL CO-OPERATIVE</t>
  </si>
  <si>
    <t xml:space="preserve">GRAND TOTAL </t>
  </si>
  <si>
    <t>Oriental Bank of Comm</t>
  </si>
  <si>
    <t>SLBC, Madhya Pradesh Convenor-Central Bank of India</t>
  </si>
  <si>
    <t>SLBC, Madhya Pradesh  Convenor: Central Bank of India</t>
  </si>
  <si>
    <t>Bhartiya Mahila Bank</t>
  </si>
  <si>
    <t>IDBI</t>
  </si>
  <si>
    <t>Punjab &amp; Sindh Bank</t>
  </si>
  <si>
    <t>S.B.Hyderabad</t>
  </si>
  <si>
    <t>S.B.Mysore</t>
  </si>
  <si>
    <t>S.B.Patiala</t>
  </si>
  <si>
    <t>S.B.Travancore</t>
  </si>
  <si>
    <t>S.B.B.Jaipur</t>
  </si>
  <si>
    <t>SUB TOTAL SBI GROUP</t>
  </si>
  <si>
    <t>DCB</t>
  </si>
  <si>
    <t>Dhanlaxmi Bank</t>
  </si>
  <si>
    <t>Federal Bank</t>
  </si>
  <si>
    <t>HDFC</t>
  </si>
  <si>
    <t>ICICI</t>
  </si>
  <si>
    <t>Indusind Bank</t>
  </si>
  <si>
    <t>J&amp;K Bank Ltd.</t>
  </si>
  <si>
    <t>Karnataka Bank Ltd.</t>
  </si>
  <si>
    <t>Kotak Mahindra</t>
  </si>
  <si>
    <t>Laxmi Vilas Bank</t>
  </si>
  <si>
    <t>Ratnakar Bank Ltd.</t>
  </si>
  <si>
    <t>DCCBs</t>
  </si>
  <si>
    <t>Amt</t>
  </si>
  <si>
    <t>No</t>
  </si>
  <si>
    <t>Oriental Bank Of Comm.</t>
  </si>
  <si>
    <t>PS</t>
  </si>
  <si>
    <t>Diff</t>
  </si>
  <si>
    <t>% of Agri adv. to total advance</t>
  </si>
  <si>
    <t>% of loans to weaker sections to total advance</t>
  </si>
  <si>
    <t>TABLE: 11(i)</t>
  </si>
  <si>
    <t>Sr</t>
  </si>
  <si>
    <t>Bank</t>
  </si>
  <si>
    <t>Target</t>
  </si>
  <si>
    <t xml:space="preserve">TARGET for FY   2016-17 </t>
  </si>
  <si>
    <t>Savings Linked</t>
  </si>
  <si>
    <t>Credit Linked</t>
  </si>
  <si>
    <t>Current FY</t>
  </si>
  <si>
    <t>Sanctioned including previous year</t>
  </si>
  <si>
    <t>BALAGHAT</t>
  </si>
  <si>
    <t>BARWANI</t>
  </si>
  <si>
    <t>DEWAS</t>
  </si>
  <si>
    <t>PANNA</t>
  </si>
  <si>
    <t>SEHORE</t>
  </si>
  <si>
    <t>TIKAMGARH</t>
  </si>
  <si>
    <t>Sr. No.</t>
  </si>
  <si>
    <t>Name of the Bank</t>
  </si>
  <si>
    <t>PSBs - SUB TOTAL</t>
  </si>
  <si>
    <t>PRIVATE BANK - SUB TOTAL</t>
  </si>
  <si>
    <t>DCCB</t>
  </si>
  <si>
    <t>CO-OPERATIVE BANK - SUB TOTAL</t>
  </si>
  <si>
    <t>Grand Total</t>
  </si>
  <si>
    <t>RRBs- SUB TOTAL</t>
  </si>
  <si>
    <t>PSBs- SUB TOTAL</t>
  </si>
  <si>
    <t xml:space="preserve"> REGIONAL RURAL BANK - SUB TOTAL</t>
  </si>
  <si>
    <t>DEPOSIT GROWTH %</t>
  </si>
  <si>
    <t>ADVANCEGROWTH %</t>
  </si>
  <si>
    <t>RRBs - SUB TOTAL</t>
  </si>
  <si>
    <t>Deposits</t>
  </si>
  <si>
    <t>Advances</t>
  </si>
  <si>
    <t>Actual</t>
  </si>
  <si>
    <t>AGAR MALWA</t>
  </si>
  <si>
    <t>ALIRAJPUR</t>
  </si>
  <si>
    <t>ANUPPUR</t>
  </si>
  <si>
    <t>ASHOK NAGAR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</si>
  <si>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</si>
  <si>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</si>
  <si>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</si>
  <si>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</si>
  <si>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</si>
  <si>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</si>
  <si>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</si>
  <si>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</si>
  <si>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DHAR</t>
  </si>
  <si>
    <t>DINDORI</t>
  </si>
  <si>
    <t>GUNA</t>
  </si>
  <si>
    <t>GWALIOR</t>
  </si>
  <si>
    <t>HARDA</t>
  </si>
  <si>
    <t>HOSHANGABAD</t>
  </si>
  <si>
    <t>INDORE</t>
  </si>
  <si>
    <t>JABALPUR</t>
  </si>
  <si>
    <t>JHABUA</t>
  </si>
  <si>
    <t>KATNI</t>
  </si>
  <si>
    <t>KHANDWA</t>
  </si>
  <si>
    <t>KHARGONE</t>
  </si>
  <si>
    <t>MANDSAUR</t>
  </si>
  <si>
    <t>Morena</t>
  </si>
  <si>
    <t>NARSINGHPUR</t>
  </si>
  <si>
    <t>NEEMUCH</t>
  </si>
  <si>
    <t>RAISEN</t>
  </si>
  <si>
    <t>RAJGARH</t>
  </si>
  <si>
    <t>RATLAM</t>
  </si>
  <si>
    <t>REWA</t>
  </si>
  <si>
    <t>SAGAR</t>
  </si>
  <si>
    <t>SATNA</t>
  </si>
  <si>
    <t>SEONI</t>
  </si>
  <si>
    <t>SHAHDOL</t>
  </si>
  <si>
    <t>SHAJAPUR</t>
  </si>
  <si>
    <t>SHEOPUR</t>
  </si>
  <si>
    <t>SHIVPURI</t>
  </si>
  <si>
    <t>SIDHI</t>
  </si>
  <si>
    <t>SINGARULI</t>
  </si>
  <si>
    <t>UJJAIN</t>
  </si>
  <si>
    <t>UMARIA</t>
  </si>
  <si>
    <t>VIDISHA</t>
  </si>
  <si>
    <t>Sheet 2</t>
  </si>
  <si>
    <t/>
  </si>
  <si>
    <t>Difference</t>
  </si>
  <si>
    <t xml:space="preserve"> </t>
  </si>
  <si>
    <t>crores</t>
  </si>
  <si>
    <t>Roadmap- Progress in opening brick and mortar branches in villages with population more than 5000</t>
  </si>
  <si>
    <t>Annex B</t>
  </si>
  <si>
    <t>Name of SLBC Convenor Bank : Central Bank of India</t>
  </si>
  <si>
    <t>Name of State: Madhya Pradesh</t>
  </si>
  <si>
    <t xml:space="preserve">Name of District </t>
  </si>
  <si>
    <t>Name of Scheduled Commercial Bank selected to open brick and mortar branches in villages with population more than 5000 without a bank branch of a scheduled commercial bank</t>
  </si>
  <si>
    <t xml:space="preserve">No.of Villages allotted </t>
  </si>
  <si>
    <t>No. of villages where brick &amp; mortar branches opened</t>
  </si>
  <si>
    <t xml:space="preserve">BHIND (8) </t>
  </si>
  <si>
    <t>(1) Bank of Maharashtra</t>
  </si>
  <si>
    <t>Jawasa</t>
  </si>
  <si>
    <t>(2) Corporation Bank</t>
  </si>
  <si>
    <t>Manhad</t>
  </si>
  <si>
    <t>(3) Dena Bank</t>
  </si>
  <si>
    <t>Goara</t>
  </si>
  <si>
    <t>(4) HDFC Bank</t>
  </si>
  <si>
    <t>Rahawali Ubari</t>
  </si>
  <si>
    <t>(5) Syndicate Bank</t>
  </si>
  <si>
    <t>Sherpur</t>
  </si>
  <si>
    <t>(6) Vijaya Bank</t>
  </si>
  <si>
    <t>Sukand</t>
  </si>
  <si>
    <t>(1) Bandhan Bank</t>
  </si>
  <si>
    <t>Bisoni</t>
  </si>
  <si>
    <t>(2) IDFC Bank</t>
  </si>
  <si>
    <t>Temni</t>
  </si>
  <si>
    <t>(1) YES Bank</t>
  </si>
  <si>
    <t>Khurmabad</t>
  </si>
  <si>
    <t>(2) Ratnakar Bank</t>
  </si>
  <si>
    <t>Dugani</t>
  </si>
  <si>
    <t>(3) Federal Bank</t>
  </si>
  <si>
    <t>Solwan</t>
  </si>
  <si>
    <t>(4) NJGB</t>
  </si>
  <si>
    <t>Danodroud</t>
  </si>
  <si>
    <t>(5) State Bank of Hyderabad</t>
  </si>
  <si>
    <t>Jalkheda</t>
  </si>
  <si>
    <t>(6) Indusind Bank</t>
  </si>
  <si>
    <t>Jhopali</t>
  </si>
  <si>
    <t>(7) Jammu &amp; Kashmir Bank Ltd.</t>
  </si>
  <si>
    <t>Jamati</t>
  </si>
  <si>
    <t>(8) State Bank of Patiala</t>
  </si>
  <si>
    <t>Vilva</t>
  </si>
  <si>
    <t>(9) State Bank of Travancore</t>
  </si>
  <si>
    <t>Khokri</t>
  </si>
  <si>
    <t>(10) State Bank of Mysore</t>
  </si>
  <si>
    <t>Chiklay</t>
  </si>
  <si>
    <t xml:space="preserve">BHOPAL (1) </t>
  </si>
  <si>
    <t>(1) Kotak Mahindra Bank</t>
  </si>
  <si>
    <t>Kanhasaiya</t>
  </si>
  <si>
    <t xml:space="preserve">CHHINDWARA (2) </t>
  </si>
  <si>
    <t>(1) Indian Over Seas Bank</t>
  </si>
  <si>
    <t>Berdi</t>
  </si>
  <si>
    <t>(2) U C O Bank</t>
  </si>
  <si>
    <t>Ekalbihari</t>
  </si>
  <si>
    <t>(1) Citi Union Bank</t>
  </si>
  <si>
    <t>Bawdikheda</t>
  </si>
  <si>
    <t>DHAR (4)</t>
  </si>
  <si>
    <t>(1) Oriental Bank of Commerce</t>
  </si>
  <si>
    <t>Awaldand</t>
  </si>
  <si>
    <t>(2) Punjab &amp; Sind Bank</t>
  </si>
  <si>
    <t>Sejwaya</t>
  </si>
  <si>
    <t>(3) State Bank of Bikaner &amp;  Jaipur</t>
  </si>
  <si>
    <t>Timayachi</t>
  </si>
  <si>
    <t>(4) Axis Bank</t>
  </si>
  <si>
    <t>Gumanpura</t>
  </si>
  <si>
    <t xml:space="preserve">KHANDWA(1) </t>
  </si>
  <si>
    <t>(1) Central Bank of India</t>
  </si>
  <si>
    <t>Khirala</t>
  </si>
  <si>
    <t>HOSHANGABAD(3)</t>
  </si>
  <si>
    <t>(1) Andhra Bank</t>
  </si>
  <si>
    <t>Bijanwada</t>
  </si>
  <si>
    <t>(2) Indian Bank</t>
  </si>
  <si>
    <t>Raipur</t>
  </si>
  <si>
    <t>(3) State Bank of India</t>
  </si>
  <si>
    <t>Sangakheda kalan*</t>
  </si>
  <si>
    <t>1*</t>
  </si>
  <si>
    <t>MANDSAUR(2)</t>
  </si>
  <si>
    <t>(1) Punjab National Bank</t>
  </si>
  <si>
    <t>Khilchipura</t>
  </si>
  <si>
    <t>(2) Bank of India</t>
  </si>
  <si>
    <t>Multanpura</t>
  </si>
  <si>
    <t xml:space="preserve">(1) MGB </t>
  </si>
  <si>
    <t>Itwan Kalan</t>
  </si>
  <si>
    <t>(2) State Bank of India</t>
  </si>
  <si>
    <t>Khora</t>
  </si>
  <si>
    <t>(3) Bank of India</t>
  </si>
  <si>
    <t>Nayagaon</t>
  </si>
  <si>
    <t xml:space="preserve">(4) Karnataka Bank </t>
  </si>
  <si>
    <t>Jaswant Pura</t>
  </si>
  <si>
    <t>(1) Bank of Baroda</t>
  </si>
  <si>
    <t>Aber</t>
  </si>
  <si>
    <t>(2) Union Bank of India</t>
  </si>
  <si>
    <t>(3) ICICI Bank</t>
  </si>
  <si>
    <t>Bhishampur</t>
  </si>
  <si>
    <t>(4) Canara Bank</t>
  </si>
  <si>
    <t>Kharam Seda</t>
  </si>
  <si>
    <t>(1) NJGB</t>
  </si>
  <si>
    <t>Bhonra</t>
  </si>
  <si>
    <t>(1) IDBI Bank</t>
  </si>
  <si>
    <t>Astaun Khas</t>
  </si>
  <si>
    <t>(2) South Indian Bank</t>
  </si>
  <si>
    <t>Bachhoda Khas</t>
  </si>
  <si>
    <t>(3) Bandhan Bank</t>
  </si>
  <si>
    <t>Chhandawani Khas</t>
  </si>
  <si>
    <t>(4) I D F C Bank</t>
  </si>
  <si>
    <t>Muhara Khas</t>
  </si>
  <si>
    <t xml:space="preserve">(5) Allahabad Bank </t>
  </si>
  <si>
    <t>Satguwan Khas</t>
  </si>
  <si>
    <t>(6) United Bank of India</t>
  </si>
  <si>
    <t>Biawarkhas</t>
  </si>
  <si>
    <t>TABLE: 25</t>
  </si>
  <si>
    <t>Chief Minister Rural Housing Mission</t>
  </si>
  <si>
    <t>Target 
FY 2016-17</t>
  </si>
  <si>
    <t xml:space="preserve">No. of cases disbursed by the bank </t>
  </si>
  <si>
    <t xml:space="preserve">Punjab National Bank </t>
  </si>
  <si>
    <t>Madhyanchal Gramin Bank</t>
  </si>
  <si>
    <t>Narmada Jhabua Gramin Bank</t>
  </si>
  <si>
    <t>Central Madhya Pradesh Gramin Bank</t>
  </si>
  <si>
    <t>TABLE: 27</t>
  </si>
  <si>
    <t>PROGRESS UNDER PMEGP</t>
  </si>
  <si>
    <t>BANK NAME</t>
  </si>
  <si>
    <t>SBBJ</t>
  </si>
  <si>
    <t>MALE</t>
  </si>
  <si>
    <t>ST</t>
  </si>
  <si>
    <t>IDBI Bank Ltd.</t>
  </si>
  <si>
    <t>Punjab and Sind Bank</t>
  </si>
  <si>
    <t>State Bank of Hyderabad</t>
  </si>
  <si>
    <t>IndusInd Bank</t>
  </si>
  <si>
    <t>Table-30</t>
  </si>
  <si>
    <t>RSETI</t>
  </si>
  <si>
    <t>No. of pro.</t>
  </si>
  <si>
    <t>No of candidates</t>
  </si>
  <si>
    <t>No. of pro</t>
  </si>
  <si>
    <t>No. of candidates</t>
  </si>
  <si>
    <t>BPL</t>
  </si>
  <si>
    <t>APL</t>
  </si>
  <si>
    <t>SC</t>
  </si>
  <si>
    <t>OBC</t>
  </si>
  <si>
    <t>Minority</t>
  </si>
  <si>
    <t>No. of canidates trained</t>
  </si>
  <si>
    <t>No. of candidates settled</t>
  </si>
  <si>
    <t>BF</t>
  </si>
  <si>
    <t>SF</t>
  </si>
  <si>
    <t>WE</t>
  </si>
  <si>
    <t>ALHB Satna</t>
  </si>
  <si>
    <t>  25  </t>
  </si>
  <si>
    <t>  250  </t>
  </si>
  <si>
    <t>  148  </t>
  </si>
  <si>
    <t>  5  </t>
  </si>
  <si>
    <t>  37  </t>
  </si>
  <si>
    <t>  143  </t>
  </si>
  <si>
    <t>  107  </t>
  </si>
  <si>
    <t>BOB Alirajpur</t>
  </si>
  <si>
    <t>  15  </t>
  </si>
  <si>
    <t>  496  </t>
  </si>
  <si>
    <t>  81  </t>
  </si>
  <si>
    <t>  22  </t>
  </si>
  <si>
    <t>BOB Jhabua</t>
  </si>
  <si>
    <t>  23  </t>
  </si>
  <si>
    <t>  714  </t>
  </si>
  <si>
    <t>  412  </t>
  </si>
  <si>
    <t>  302  </t>
  </si>
  <si>
    <t>  39  </t>
  </si>
  <si>
    <t>  626  </t>
  </si>
  <si>
    <t>  33  </t>
  </si>
  <si>
    <t>  142  </t>
  </si>
  <si>
    <t>  482  </t>
  </si>
  <si>
    <t>  1733  </t>
  </si>
  <si>
    <t>  2  </t>
  </si>
  <si>
    <t>BOI Barwani</t>
  </si>
  <si>
    <t>  67  </t>
  </si>
  <si>
    <t>  31  </t>
  </si>
  <si>
    <t>  334  </t>
  </si>
  <si>
    <t>  144  </t>
  </si>
  <si>
    <t>  9  </t>
  </si>
  <si>
    <t>  79  </t>
  </si>
  <si>
    <t>  82  </t>
  </si>
  <si>
    <t>BOI Bhopal</t>
  </si>
  <si>
    <t>  3  </t>
  </si>
  <si>
    <t>  98  </t>
  </si>
  <si>
    <t>  43  </t>
  </si>
  <si>
    <t>  55  </t>
  </si>
  <si>
    <t>  29  </t>
  </si>
  <si>
    <t>  77  </t>
  </si>
  <si>
    <t>  2243  </t>
  </si>
  <si>
    <t>  1780  </t>
  </si>
  <si>
    <t>  1294  </t>
  </si>
  <si>
    <t>  486  </t>
  </si>
  <si>
    <t>  52  </t>
  </si>
  <si>
    <t>BOI Burhanpur</t>
  </si>
  <si>
    <t>  17  </t>
  </si>
  <si>
    <t>  84  </t>
  </si>
  <si>
    <t>  94  </t>
  </si>
  <si>
    <t>  2609  </t>
  </si>
  <si>
    <t>  130  </t>
  </si>
  <si>
    <t>BOI Dewas</t>
  </si>
  <si>
    <t>  20  </t>
  </si>
  <si>
    <t>  418  </t>
  </si>
  <si>
    <t>  141  </t>
  </si>
  <si>
    <t>  256  </t>
  </si>
  <si>
    <t>  47  </t>
  </si>
  <si>
    <t>  547  </t>
  </si>
  <si>
    <t>  121  </t>
  </si>
  <si>
    <t>BOI Dhar</t>
  </si>
  <si>
    <t>  671  </t>
  </si>
  <si>
    <t>  375  </t>
  </si>
  <si>
    <t>  104  </t>
  </si>
  <si>
    <t>  413  </t>
  </si>
  <si>
    <t>  113  </t>
  </si>
  <si>
    <t>  13  </t>
  </si>
  <si>
    <t>  1087  </t>
  </si>
  <si>
    <t>  390  </t>
  </si>
  <si>
    <t>  697  </t>
  </si>
  <si>
    <t>BOI Khandwa</t>
  </si>
  <si>
    <t>  24  </t>
  </si>
  <si>
    <t>  321  </t>
  </si>
  <si>
    <t>  105  </t>
  </si>
  <si>
    <t>  128  </t>
  </si>
  <si>
    <t>BOI Khargone</t>
  </si>
  <si>
    <t>  307  </t>
  </si>
  <si>
    <t>  76  </t>
  </si>
  <si>
    <t>  19  </t>
  </si>
  <si>
    <t>  1736  </t>
  </si>
  <si>
    <t>  75  </t>
  </si>
  <si>
    <t>BOI Rajgarh</t>
  </si>
  <si>
    <t>  27  </t>
  </si>
  <si>
    <t>  180  </t>
  </si>
  <si>
    <t>  8  </t>
  </si>
  <si>
    <t>  155  </t>
  </si>
  <si>
    <t>BOI Sehore</t>
  </si>
  <si>
    <t>  14  </t>
  </si>
  <si>
    <t>  163  </t>
  </si>
  <si>
    <t>  7  </t>
  </si>
  <si>
    <t>  36  </t>
  </si>
  <si>
    <t>BOI Shajapur</t>
  </si>
  <si>
    <t>  21  </t>
  </si>
  <si>
    <t>  149  </t>
  </si>
  <si>
    <t>  18  </t>
  </si>
  <si>
    <t>  74  </t>
  </si>
  <si>
    <t>  102  </t>
  </si>
  <si>
    <t>  1469  </t>
  </si>
  <si>
    <t>  338  </t>
  </si>
  <si>
    <t>BOI Ujjain</t>
  </si>
  <si>
    <t>  565  </t>
  </si>
  <si>
    <t>  157  </t>
  </si>
  <si>
    <t>  16  </t>
  </si>
  <si>
    <t>  194  </t>
  </si>
  <si>
    <t>CBI Anuppur</t>
  </si>
  <si>
    <t>  529  </t>
  </si>
  <si>
    <t>  1  </t>
  </si>
  <si>
    <t>  80  </t>
  </si>
  <si>
    <t>CBI Balaghat</t>
  </si>
  <si>
    <t>  411  </t>
  </si>
  <si>
    <t>  199  </t>
  </si>
  <si>
    <t>  59  </t>
  </si>
  <si>
    <t>CBI Betul</t>
  </si>
  <si>
    <t>  63  </t>
  </si>
  <si>
    <t>  399  </t>
  </si>
  <si>
    <t>  193  </t>
  </si>
  <si>
    <t>CBI Bhind</t>
  </si>
  <si>
    <t>  475  </t>
  </si>
  <si>
    <t>  30  </t>
  </si>
  <si>
    <t>  259  </t>
  </si>
  <si>
    <t>  820  </t>
  </si>
  <si>
    <t>  96  </t>
  </si>
  <si>
    <t>CBI Chhindwara</t>
  </si>
  <si>
    <t>  186  </t>
  </si>
  <si>
    <t>  273  </t>
  </si>
  <si>
    <t>  208  </t>
  </si>
  <si>
    <t>  1118  </t>
  </si>
  <si>
    <t>  303  </t>
  </si>
  <si>
    <t>  138  </t>
  </si>
  <si>
    <t>CBI Dindori</t>
  </si>
  <si>
    <t>  333  </t>
  </si>
  <si>
    <t>CBI Gwalior</t>
  </si>
  <si>
    <t>  12  </t>
  </si>
  <si>
    <t>  359  </t>
  </si>
  <si>
    <t>  122  </t>
  </si>
  <si>
    <t>  237  </t>
  </si>
  <si>
    <t>  42  </t>
  </si>
  <si>
    <t>  109  </t>
  </si>
  <si>
    <t>  350  </t>
  </si>
  <si>
    <t>CBI Hoshangabad</t>
  </si>
  <si>
    <t>  57  </t>
  </si>
  <si>
    <t>  203  </t>
  </si>
  <si>
    <t>CBI Jabalpur</t>
  </si>
  <si>
    <t>  274  </t>
  </si>
  <si>
    <t>  68  </t>
  </si>
  <si>
    <t>CBI Mandla</t>
  </si>
  <si>
    <t>  4  </t>
  </si>
  <si>
    <t>  53  </t>
  </si>
  <si>
    <t>CBI Mandsaur</t>
  </si>
  <si>
    <t>  329  </t>
  </si>
  <si>
    <t>  231  </t>
  </si>
  <si>
    <t>  335  </t>
  </si>
  <si>
    <t>  908  </t>
  </si>
  <si>
    <t>CBI Morena</t>
  </si>
  <si>
    <t>  251  </t>
  </si>
  <si>
    <t>  170  </t>
  </si>
  <si>
    <t>CBI Narsinghpur</t>
  </si>
  <si>
    <t>  64  </t>
  </si>
  <si>
    <t>  1217  </t>
  </si>
  <si>
    <t>  99  </t>
  </si>
  <si>
    <t>CBI Raisen</t>
  </si>
  <si>
    <t>  324  </t>
  </si>
  <si>
    <t>  352  </t>
  </si>
  <si>
    <t>CBI Ratlam</t>
  </si>
  <si>
    <t>  28  </t>
  </si>
  <si>
    <t>  430  </t>
  </si>
  <si>
    <t>  220  </t>
  </si>
  <si>
    <t>  125  </t>
  </si>
  <si>
    <t>CBI Sagar</t>
  </si>
  <si>
    <t>  255  </t>
  </si>
  <si>
    <t>  91  </t>
  </si>
  <si>
    <t>  133  </t>
  </si>
  <si>
    <t>CBI Seoni</t>
  </si>
  <si>
    <t>  513  </t>
  </si>
  <si>
    <t>  187  </t>
  </si>
  <si>
    <t>  70  </t>
  </si>
  <si>
    <t>  280  </t>
  </si>
  <si>
    <t>CBI Shahdol</t>
  </si>
  <si>
    <t>PNB Datia</t>
  </si>
  <si>
    <t>  314  </t>
  </si>
  <si>
    <t>  299  </t>
  </si>
  <si>
    <t>RUDSETI Bhopal</t>
  </si>
  <si>
    <t>  364  </t>
  </si>
  <si>
    <t>  2586  </t>
  </si>
  <si>
    <t>  495  </t>
  </si>
  <si>
    <t>SBI Ashok Nagar</t>
  </si>
  <si>
    <t>  100  </t>
  </si>
  <si>
    <t>  771  </t>
  </si>
  <si>
    <t>SBI Chhatarpur</t>
  </si>
  <si>
    <t>  38  </t>
  </si>
  <si>
    <t>  379  </t>
  </si>
  <si>
    <t>SBI Damoh</t>
  </si>
  <si>
    <t>  562  </t>
  </si>
  <si>
    <t>  228  </t>
  </si>
  <si>
    <t>  389  </t>
  </si>
  <si>
    <t>SBI Guna</t>
  </si>
  <si>
    <t>  403  </t>
  </si>
  <si>
    <t>  178  </t>
  </si>
  <si>
    <t>  258  </t>
  </si>
  <si>
    <t>SBI Harda</t>
  </si>
  <si>
    <t>  213  </t>
  </si>
  <si>
    <t>SBI Katni</t>
  </si>
  <si>
    <t>  304  </t>
  </si>
  <si>
    <t>  424  </t>
  </si>
  <si>
    <t>SBI Neemuch</t>
  </si>
  <si>
    <t>  101  </t>
  </si>
  <si>
    <t>  10  </t>
  </si>
  <si>
    <t>  95  </t>
  </si>
  <si>
    <t>  226  </t>
  </si>
  <si>
    <t>SBI Panna</t>
  </si>
  <si>
    <t>  499  </t>
  </si>
  <si>
    <t>  127  </t>
  </si>
  <si>
    <t>  87  </t>
  </si>
  <si>
    <t>  253  </t>
  </si>
  <si>
    <t>  1080  </t>
  </si>
  <si>
    <t>SBI Sheopur</t>
  </si>
  <si>
    <t>  613  </t>
  </si>
  <si>
    <t>  401  </t>
  </si>
  <si>
    <t>  212  </t>
  </si>
  <si>
    <t>  40  </t>
  </si>
  <si>
    <t>  3494  </t>
  </si>
  <si>
    <t>SBI Shivpuri</t>
  </si>
  <si>
    <t>  514  </t>
  </si>
  <si>
    <t>SBI Tikamgarh</t>
  </si>
  <si>
    <t>  201  </t>
  </si>
  <si>
    <t>  120  </t>
  </si>
  <si>
    <t>SBI Umaria</t>
  </si>
  <si>
    <t>  341  </t>
  </si>
  <si>
    <t>  51  </t>
  </si>
  <si>
    <t>SBI Vidisha</t>
  </si>
  <si>
    <t>  347  </t>
  </si>
  <si>
    <t>  54  </t>
  </si>
  <si>
    <t>  118  </t>
  </si>
  <si>
    <t>  215  </t>
  </si>
  <si>
    <t>UBI Rewa</t>
  </si>
  <si>
    <t>  566  </t>
  </si>
  <si>
    <t>  166  </t>
  </si>
  <si>
    <t>  124  </t>
  </si>
  <si>
    <t>  524  </t>
  </si>
  <si>
    <t>UBI Sidhi</t>
  </si>
  <si>
    <t>  172  </t>
  </si>
  <si>
    <t>  269  </t>
  </si>
  <si>
    <t>  190  </t>
  </si>
  <si>
    <t>UBI singarauli</t>
  </si>
  <si>
    <t>  1125  </t>
  </si>
  <si>
    <t>  526  </t>
  </si>
  <si>
    <t>VB Indore</t>
  </si>
  <si>
    <t>  93  </t>
  </si>
  <si>
    <t>  119  </t>
  </si>
  <si>
    <t>Data Table, State Level Banker's Committee, M.P. as on 31.12.2016 Page No. 86</t>
  </si>
  <si>
    <t>BANKWISE TOTAL DEPOSITS, ADVANCES AND C.D.RATIO  As on 31.03.2017</t>
  </si>
  <si>
    <t>PREVIOUS QUARTER 31.12.16</t>
  </si>
  <si>
    <t>CURRENT QUARTER 31.03.17</t>
  </si>
  <si>
    <t>PRIORITY SECTOR  OUTSTANDING AS ON 31.03.2017</t>
  </si>
  <si>
    <t>NON-PRIORITY SECTOR  OUTSTANDING AS ON 31.03.2017   Table:8</t>
  </si>
  <si>
    <t>ANNUAL CREDIT PLAN ACHIEVEMENT UNDER PRIORITY SECTOR AS ON 31.03.2017</t>
  </si>
  <si>
    <t>Bank wise Position of Branches/ATM as on 31.03.2017</t>
  </si>
  <si>
    <t>ATM</t>
  </si>
  <si>
    <t>CENTRE WISE INFORMATION REGARDING DEPOSITS, ADVANCES AND C.D.RATIO  31.03.2017</t>
  </si>
  <si>
    <t>AGRICULTURE OUTSTANDING AS ON 31.03.2017</t>
  </si>
  <si>
    <t>Outstanding upto the end of current quarter 31.03.2017</t>
  </si>
  <si>
    <t>Outstanding upto the end of the current quarter (%) (Amt in Lakhs)</t>
  </si>
  <si>
    <t>MSME  (PRIORITY SECTOR) OUTSTANDING AS ON 31.03.2017</t>
  </si>
  <si>
    <t>31.12.16</t>
  </si>
  <si>
    <t>DISTRICT WISE TOTAL DEPOSITS, ADVANCES AND C.D.RATIO  As on 31.03.2017</t>
  </si>
  <si>
    <t>ADVANCES TO WEAKER SECTION OUTSTANDING AS ON 31.03.2017</t>
  </si>
  <si>
    <t>ANNUAL CREDIT PLAN ACHIEVEMENT UNDER NON-PRIORITY SECTOR AS ON 31.03.2017</t>
  </si>
  <si>
    <t>ANNUAL CREDIT PLAN ACHIEVEMENT UNDER MSME (PRI SEC) AS ON 31.03.2017</t>
  </si>
  <si>
    <t>Disbursement upto the end of current quarter 31.03.2017</t>
  </si>
  <si>
    <t>ANNUAL CREDIT PLAN ACHIEVEMENT UNDER AGRICULTURE AS ON 31.03.2017</t>
  </si>
  <si>
    <t>MANDLA</t>
  </si>
  <si>
    <t>POSITION OF NPA AS ON 31.03.2017</t>
  </si>
  <si>
    <t>POSITION OF SECTOR WISE NPA (PRIORITY SECTOR) As on 31.03.2017</t>
  </si>
  <si>
    <t>POSITION OF SECTOR WISE NPA (NON PRIORITY SECTOR) As on 31.03.2017</t>
  </si>
  <si>
    <t>POSITION OF NPA UNDER GOVT. SPONSORED SCHEME As on31.03.2017</t>
  </si>
  <si>
    <t>PROGRESS UNDER KISAN CREDIT CARD (As on 31.03.2017)</t>
  </si>
  <si>
    <t>TOTAL NO. OF CARD AS ON 31.03.17</t>
  </si>
  <si>
    <t>PROGRESS UNDER HIGHER EDUCATION LOANS AS ON 31.03.2017</t>
  </si>
  <si>
    <t>POSITION SHG BANK LINKAGE PROGRAMME AS ON 31.03.2017</t>
  </si>
  <si>
    <t>LOANS OUTSTANDING TO MINORITY COMMUNITIES AS ON 31.03.2017</t>
  </si>
  <si>
    <t>LOANS OUTSTANDING TO SC/ST AS ON 31.03.2017</t>
  </si>
  <si>
    <t>LOANS DISBURSED TO SC/ST 01.04.16 TO 31.03.17</t>
  </si>
  <si>
    <t>ADVANCES TO WOMEN AS ON 31.03.2017</t>
  </si>
  <si>
    <t>LOANS DISBURSED TO WOMEN 01.04.16 TO 31.03.17</t>
  </si>
  <si>
    <t>Data Table, State Level Banker's Committee, M.P. as on 31.03.2017 Page No….</t>
  </si>
  <si>
    <t>Data Table, State Level Banker's Committee, M.P. as on 31.03.2017 Page No…..</t>
  </si>
  <si>
    <t>Data Table, State Level Banker's Committee, M.P. as on 31.03.2017 Page No…</t>
  </si>
  <si>
    <t>SHGs O/S</t>
  </si>
  <si>
    <t>NO. OF CARD ISSUED DURING 01.04.16 to 31.03.17 (Including renewal)</t>
  </si>
  <si>
    <t>BANK WISE PMJDY STATUS AS ON 31.03.2017</t>
  </si>
  <si>
    <t>Total no. of PMJDY Accounts</t>
  </si>
  <si>
    <t>No. of Minor Accounts</t>
  </si>
  <si>
    <t>Balance held in the Acs Rs. in crore</t>
  </si>
  <si>
    <t>No. of RuPay card issued</t>
  </si>
  <si>
    <t>No. of Aadhaar Seeding</t>
  </si>
  <si>
    <t>Aadhaar Seeding %</t>
  </si>
  <si>
    <t>No. of Zero Bal Acs</t>
  </si>
  <si>
    <t>Zero Bal Acs %</t>
  </si>
  <si>
    <t>No. of Active RuPay cards</t>
  </si>
  <si>
    <t>Active RuPay cards %</t>
  </si>
  <si>
    <t>No. of Mobile Seeding</t>
  </si>
  <si>
    <t>PSBs Total</t>
  </si>
  <si>
    <t>Private Banks Total</t>
  </si>
  <si>
    <t>RRBs Total</t>
  </si>
  <si>
    <t>Cooperative Banks Total</t>
  </si>
  <si>
    <t>Mobile Seeding %</t>
  </si>
  <si>
    <t>OD Sanctioned (No.)</t>
  </si>
  <si>
    <t>SLBC Madhya Pradesh    Convener-Central Bank of India</t>
  </si>
  <si>
    <t>  752  </t>
  </si>
  <si>
    <t>  469  </t>
  </si>
  <si>
    <t>  283  </t>
  </si>
  <si>
    <t>  41  </t>
  </si>
  <si>
    <t>  4222  </t>
  </si>
  <si>
    <t>  3278  </t>
  </si>
  <si>
    <t>  933  </t>
  </si>
  <si>
    <t>  2345  </t>
  </si>
  <si>
    <t>  606  </t>
  </si>
  <si>
    <t>  601  </t>
  </si>
  <si>
    <t>  2420  </t>
  </si>
  <si>
    <t>  1740  </t>
  </si>
  <si>
    <t>  832  </t>
  </si>
  <si>
    <t>  777  </t>
  </si>
  <si>
    <t>  455  </t>
  </si>
  <si>
    <t>  322  </t>
  </si>
  <si>
    <t>  46  </t>
  </si>
  <si>
    <t>  669  </t>
  </si>
  <si>
    <t>  146  </t>
  </si>
  <si>
    <t>  4406  </t>
  </si>
  <si>
    <t>  2719  </t>
  </si>
  <si>
    <t>  691  </t>
  </si>
  <si>
    <t>  2030  </t>
  </si>
  <si>
    <t>  544  </t>
  </si>
  <si>
    <t>  2341  </t>
  </si>
  <si>
    <t>  1412  </t>
  </si>
  <si>
    <t>  196  </t>
  </si>
  <si>
    <t>  745  </t>
  </si>
  <si>
    <t>  688  </t>
  </si>
  <si>
    <t>  126  </t>
  </si>
  <si>
    <t>  366  </t>
  </si>
  <si>
    <t>  2873  </t>
  </si>
  <si>
    <t>  2065  </t>
  </si>
  <si>
    <t>  1676  </t>
  </si>
  <si>
    <t>  147  </t>
  </si>
  <si>
    <t>  677  </t>
  </si>
  <si>
    <t>  223  </t>
  </si>
  <si>
    <t>  2822  </t>
  </si>
  <si>
    <t>  1544  </t>
  </si>
  <si>
    <t>  881  </t>
  </si>
  <si>
    <t>  663  </t>
  </si>
  <si>
    <t>  135  </t>
  </si>
  <si>
    <t>  26  </t>
  </si>
  <si>
    <t>  106  </t>
  </si>
  <si>
    <t>  419  </t>
  </si>
  <si>
    <t>  2271  </t>
  </si>
  <si>
    <t>  1278  </t>
  </si>
  <si>
    <t>  823  </t>
  </si>
  <si>
    <t>  706  </t>
  </si>
  <si>
    <t>  371  </t>
  </si>
  <si>
    <t>  117  </t>
  </si>
  <si>
    <t>  169  </t>
  </si>
  <si>
    <t>  2857  </t>
  </si>
  <si>
    <t>  1921  </t>
  </si>
  <si>
    <t>  612  </t>
  </si>
  <si>
    <t>  1309  </t>
  </si>
  <si>
    <t>  769  </t>
  </si>
  <si>
    <t>  434  </t>
  </si>
  <si>
    <t>  346  </t>
  </si>
  <si>
    <t>  2694  </t>
  </si>
  <si>
    <t>  1908  </t>
  </si>
  <si>
    <t>  1343  </t>
  </si>
  <si>
    <t>  761  </t>
  </si>
  <si>
    <t>  733  </t>
  </si>
  <si>
    <t>  4820  </t>
  </si>
  <si>
    <t>  3883  </t>
  </si>
  <si>
    <t>  3015  </t>
  </si>
  <si>
    <t>  907  </t>
  </si>
  <si>
    <t>  78  </t>
  </si>
  <si>
    <t>  2405  </t>
  </si>
  <si>
    <t>  1596  </t>
  </si>
  <si>
    <t>  1182  </t>
  </si>
  <si>
    <t>  414  </t>
  </si>
  <si>
    <t>  722  </t>
  </si>
  <si>
    <t>  555  </t>
  </si>
  <si>
    <t>  167  </t>
  </si>
  <si>
    <t>  240  </t>
  </si>
  <si>
    <t>  292  </t>
  </si>
  <si>
    <t>  2961  </t>
  </si>
  <si>
    <t>  2133  </t>
  </si>
  <si>
    <t>  896  </t>
  </si>
  <si>
    <t>  1248  </t>
  </si>
  <si>
    <t>  689  </t>
  </si>
  <si>
    <t>  176  </t>
  </si>
  <si>
    <t>  2321  </t>
  </si>
  <si>
    <t>  1429  </t>
  </si>
  <si>
    <t>  1015  </t>
  </si>
  <si>
    <t>  750  </t>
  </si>
  <si>
    <t>  734  </t>
  </si>
  <si>
    <t>  426  </t>
  </si>
  <si>
    <t>  2148  </t>
  </si>
  <si>
    <t>  1548  </t>
  </si>
  <si>
    <t>  553  </t>
  </si>
  <si>
    <t>  995  </t>
  </si>
  <si>
    <t>  498  </t>
  </si>
  <si>
    <t>  58  </t>
  </si>
  <si>
    <t>  579  </t>
  </si>
  <si>
    <t>  2813  </t>
  </si>
  <si>
    <t>  2003  </t>
  </si>
  <si>
    <t>  808  </t>
  </si>
  <si>
    <t>  1195  </t>
  </si>
  <si>
    <t>  621  </t>
  </si>
  <si>
    <t>  477  </t>
  </si>
  <si>
    <t>  60  </t>
  </si>
  <si>
    <t>  1614  </t>
  </si>
  <si>
    <t>  1065  </t>
  </si>
  <si>
    <t>  521  </t>
  </si>
  <si>
    <t>  572  </t>
  </si>
  <si>
    <t>  1953  </t>
  </si>
  <si>
    <t>  1421  </t>
  </si>
  <si>
    <t>  397  </t>
  </si>
  <si>
    <t>  1025  </t>
  </si>
  <si>
    <t>  756  </t>
  </si>
  <si>
    <t>  536  </t>
  </si>
  <si>
    <t>  257  </t>
  </si>
  <si>
    <t>  2056  </t>
  </si>
  <si>
    <t>  1357  </t>
  </si>
  <si>
    <t>  502  </t>
  </si>
  <si>
    <t>  940  </t>
  </si>
  <si>
    <t>  152  </t>
  </si>
  <si>
    <t>  674  </t>
  </si>
  <si>
    <t>  429  </t>
  </si>
  <si>
    <t>  3345  </t>
  </si>
  <si>
    <t>  2023  </t>
  </si>
  <si>
    <t>  615  </t>
  </si>
  <si>
    <t>  1408  </t>
  </si>
  <si>
    <t>  576  </t>
  </si>
  <si>
    <t>  205  </t>
  </si>
  <si>
    <t>  189  </t>
  </si>
  <si>
    <t>  1681  </t>
  </si>
  <si>
    <t>  1014  </t>
  </si>
  <si>
    <t>  667  </t>
  </si>
  <si>
    <t>  725  </t>
  </si>
  <si>
    <t>  173  </t>
  </si>
  <si>
    <t>  3026  </t>
  </si>
  <si>
    <t>  2109  </t>
  </si>
  <si>
    <t>  1137  </t>
  </si>
  <si>
    <t>  972  </t>
  </si>
  <si>
    <t>  535  </t>
  </si>
  <si>
    <t>  2565  </t>
  </si>
  <si>
    <t>  1616  </t>
  </si>
  <si>
    <t>  1213  </t>
  </si>
  <si>
    <t>  277  </t>
  </si>
  <si>
    <t>  452  </t>
  </si>
  <si>
    <t>  266  </t>
  </si>
  <si>
    <t>  2337  </t>
  </si>
  <si>
    <t>  1640  </t>
  </si>
  <si>
    <t>  61  </t>
  </si>
  <si>
    <t>  633  </t>
  </si>
  <si>
    <t>  378  </t>
  </si>
  <si>
    <t>  363  </t>
  </si>
  <si>
    <t>  44  </t>
  </si>
  <si>
    <t>  3045  </t>
  </si>
  <si>
    <t>  2082  </t>
  </si>
  <si>
    <t>  1174  </t>
  </si>
  <si>
    <t>  427  </t>
  </si>
  <si>
    <t>  628  </t>
  </si>
  <si>
    <t>  281  </t>
  </si>
  <si>
    <t>  183  </t>
  </si>
  <si>
    <t>  229  </t>
  </si>
  <si>
    <t>  2303  </t>
  </si>
  <si>
    <t>  1552  </t>
  </si>
  <si>
    <t>  684  </t>
  </si>
  <si>
    <t>  398  </t>
  </si>
  <si>
    <t>  286  </t>
  </si>
  <si>
    <t>  445  </t>
  </si>
  <si>
    <t>  4333  </t>
  </si>
  <si>
    <t>  3569  </t>
  </si>
  <si>
    <t>  2334  </t>
  </si>
  <si>
    <t>  1237  </t>
  </si>
  <si>
    <t>  728  </t>
  </si>
  <si>
    <t>  382  </t>
  </si>
  <si>
    <t>  139  </t>
  </si>
  <si>
    <t>  395  </t>
  </si>
  <si>
    <t>  116  </t>
  </si>
  <si>
    <t>  3675  </t>
  </si>
  <si>
    <t>  2569  </t>
  </si>
  <si>
    <t>  2156  </t>
  </si>
  <si>
    <t>  868  </t>
  </si>
  <si>
    <t>  3990  </t>
  </si>
  <si>
    <t>  3127  </t>
  </si>
  <si>
    <t>  1732  </t>
  </si>
  <si>
    <t>  1395  </t>
  </si>
  <si>
    <t>  575  </t>
  </si>
  <si>
    <t>  56  </t>
  </si>
  <si>
    <t>  354  </t>
  </si>
  <si>
    <t>  4411  </t>
  </si>
  <si>
    <t>  2902  </t>
  </si>
  <si>
    <t>  1542  </t>
  </si>
  <si>
    <t>  1360  </t>
  </si>
  <si>
    <t>  772  </t>
  </si>
  <si>
    <t>  110  </t>
  </si>
  <si>
    <t>  2012  </t>
  </si>
  <si>
    <t>  1313  </t>
  </si>
  <si>
    <t>  973  </t>
  </si>
  <si>
    <t>  812  </t>
  </si>
  <si>
    <t>  4355  </t>
  </si>
  <si>
    <t>  2933  </t>
  </si>
  <si>
    <t>  1200  </t>
  </si>
  <si>
    <t>  774  </t>
  </si>
  <si>
    <t>  294  </t>
  </si>
  <si>
    <t>  198  </t>
  </si>
  <si>
    <t>  5076  </t>
  </si>
  <si>
    <t>  3071  </t>
  </si>
  <si>
    <t>  781  </t>
  </si>
  <si>
    <t>  2290  </t>
  </si>
  <si>
    <t>  301  </t>
  </si>
  <si>
    <t>  1147  </t>
  </si>
  <si>
    <t>  581  </t>
  </si>
  <si>
    <t>  204  </t>
  </si>
  <si>
    <t>  614  </t>
  </si>
  <si>
    <t>  165  </t>
  </si>
  <si>
    <t>  4684  </t>
  </si>
  <si>
    <t>  2782  </t>
  </si>
  <si>
    <t>  625  </t>
  </si>
  <si>
    <t>  2157  </t>
  </si>
  <si>
    <t>  809  </t>
  </si>
  <si>
    <t>  540  </t>
  </si>
  <si>
    <t>  1461  </t>
  </si>
  <si>
    <t>  598  </t>
  </si>
  <si>
    <t>  863  </t>
  </si>
  <si>
    <t>  799  </t>
  </si>
  <si>
    <t>  525  </t>
  </si>
  <si>
    <t>  3577  </t>
  </si>
  <si>
    <t>  2018  </t>
  </si>
  <si>
    <t>  443  </t>
  </si>
  <si>
    <t>  1575  </t>
  </si>
  <si>
    <t>  620  </t>
  </si>
  <si>
    <t>  587  </t>
  </si>
  <si>
    <t>  160  </t>
  </si>
  <si>
    <t>  4574  </t>
  </si>
  <si>
    <t>  2619  </t>
  </si>
  <si>
    <t>  2207  </t>
  </si>
  <si>
    <t>  1173  </t>
  </si>
  <si>
    <t>  580  </t>
  </si>
  <si>
    <t>  453  </t>
  </si>
  <si>
    <t>  268  </t>
  </si>
  <si>
    <t>  2906  </t>
  </si>
  <si>
    <t>  264  </t>
  </si>
  <si>
    <t>  1472  </t>
  </si>
  <si>
    <t>  790  </t>
  </si>
  <si>
    <t>  306  </t>
  </si>
  <si>
    <t>  218  </t>
  </si>
  <si>
    <t>  83  </t>
  </si>
  <si>
    <t>  2183  </t>
  </si>
  <si>
    <t>  1311  </t>
  </si>
  <si>
    <t>  751  </t>
  </si>
  <si>
    <t>  349  </t>
  </si>
  <si>
    <t>  2949  </t>
  </si>
  <si>
    <t>  2238  </t>
  </si>
  <si>
    <t>  589  </t>
  </si>
  <si>
    <t>  1669  </t>
  </si>
  <si>
    <t>  214  </t>
  </si>
  <si>
    <t>  2388  </t>
  </si>
  <si>
    <t>  1695  </t>
  </si>
  <si>
    <t>  328  </t>
  </si>
  <si>
    <t>  1367  </t>
  </si>
  <si>
    <t>  640  </t>
  </si>
  <si>
    <t>  675  </t>
  </si>
  <si>
    <t>  505  </t>
  </si>
  <si>
    <t>  132  </t>
  </si>
  <si>
    <t>  285  </t>
  </si>
  <si>
    <t>  2767  </t>
  </si>
  <si>
    <t>  1512  </t>
  </si>
  <si>
    <t>  1184  </t>
  </si>
  <si>
    <t>  2203  </t>
  </si>
  <si>
    <t>  1532  </t>
  </si>
  <si>
    <t>  557  </t>
  </si>
  <si>
    <t>  192  </t>
  </si>
  <si>
    <t>  111  </t>
  </si>
  <si>
    <t>  2896  </t>
  </si>
  <si>
    <t>  1936  </t>
  </si>
  <si>
    <t>  716  </t>
  </si>
  <si>
    <t>  265  </t>
  </si>
  <si>
    <t>  3279  </t>
  </si>
  <si>
    <t>  2178  </t>
  </si>
  <si>
    <t>  323  </t>
  </si>
  <si>
    <t>  1855  </t>
  </si>
  <si>
    <t>  602  </t>
  </si>
  <si>
    <t>  3283  </t>
  </si>
  <si>
    <t>  2557  </t>
  </si>
  <si>
    <t>  388  </t>
  </si>
  <si>
    <t>  2169  </t>
  </si>
  <si>
    <t>  344  </t>
  </si>
  <si>
    <t>  279  </t>
  </si>
  <si>
    <t>  2376  </t>
  </si>
  <si>
    <t>  1451  </t>
  </si>
  <si>
    <t>  227  </t>
  </si>
  <si>
    <t>  767  </t>
  </si>
  <si>
    <t>  282  </t>
  </si>
  <si>
    <t>  3525  </t>
  </si>
  <si>
    <t>  2096  </t>
  </si>
  <si>
    <t>  1409  </t>
  </si>
  <si>
    <t>  242  </t>
  </si>
  <si>
    <t>  2729  </t>
  </si>
  <si>
    <t>  1121  </t>
  </si>
  <si>
    <t>  802  </t>
  </si>
  <si>
    <t>  694  </t>
  </si>
  <si>
    <t>  108  </t>
  </si>
  <si>
    <t>  2560  </t>
  </si>
  <si>
    <t>  1049  </t>
  </si>
  <si>
    <t>  2765  </t>
  </si>
  <si>
    <t>  1832  </t>
  </si>
  <si>
    <t>  458  </t>
  </si>
  <si>
    <t>  1377  </t>
  </si>
  <si>
    <t>  1250  </t>
  </si>
  <si>
    <t>  34769  </t>
  </si>
  <si>
    <t>  24506  </t>
  </si>
  <si>
    <t>  10263  </t>
  </si>
  <si>
    <t>  7602  </t>
  </si>
  <si>
    <t>  8040  </t>
  </si>
  <si>
    <t>  13865  </t>
  </si>
  <si>
    <t>  1721  </t>
  </si>
  <si>
    <t>  5578  </t>
  </si>
  <si>
    <t>  154843  </t>
  </si>
  <si>
    <t>  102936  </t>
  </si>
  <si>
    <t>  39796  </t>
  </si>
  <si>
    <t>  63314  </t>
  </si>
  <si>
    <t>  9889  </t>
  </si>
  <si>
    <t>Targets F Y 2016017</t>
  </si>
  <si>
    <t>  0  </t>
  </si>
  <si>
    <t>PROGRESS OF RURAL SELF EMPLOYMENT TRAINING INSTITUTES (RSETIs) IN THE STATE OF MADHYA PRADESH AS ON 31.03.2017</t>
  </si>
  <si>
    <t>Cummulative achievement since 01.04.2011</t>
  </si>
  <si>
    <t>Achievement F Y 16017 as on 31st March 2017</t>
  </si>
  <si>
    <t>SR.</t>
  </si>
  <si>
    <t>TABLE: 32</t>
  </si>
  <si>
    <t>MUDRA PROGRESS REPORT OF MADHYA PRADESH FY 2016-17 AS ON 31.03.2017</t>
  </si>
  <si>
    <t>Disbursement amount in crores</t>
  </si>
  <si>
    <t>Bank Name</t>
  </si>
  <si>
    <t>Target        FY 16-17 Amt.</t>
  </si>
  <si>
    <t>Up to Rs. 10000</t>
  </si>
  <si>
    <t>Rs. 10001 to 20000</t>
  </si>
  <si>
    <t>Rs. 20001 to 50000</t>
  </si>
  <si>
    <t>Shishu Total</t>
  </si>
  <si>
    <t>Kishore</t>
  </si>
  <si>
    <t>Tarun</t>
  </si>
  <si>
    <t>SBI &amp; ASSOCIATES</t>
  </si>
  <si>
    <t>State Bank of Mysore</t>
  </si>
  <si>
    <t>State Bank of Patiala</t>
  </si>
  <si>
    <t>State Bank of Travancore</t>
  </si>
  <si>
    <t>PUBLIC SECTOR BANKS</t>
  </si>
  <si>
    <t>IDBI Bank Limited</t>
  </si>
  <si>
    <t>PRIVATE SECTOR BANKS</t>
  </si>
  <si>
    <t>IDFC Bank Limited</t>
  </si>
  <si>
    <t>Jammu &amp; Kashmir Bank</t>
  </si>
  <si>
    <t>Karnataka Bank</t>
  </si>
  <si>
    <t>FOREIGN BANKS</t>
  </si>
  <si>
    <t>REGIONAL RURAL BANKS</t>
  </si>
  <si>
    <t>GRAND TOTAL</t>
  </si>
  <si>
    <t>*Target allotted by DFS to Public Sector Banks &amp; RRBs</t>
  </si>
  <si>
    <t>LOANS DISBURSED TO MINORITY COMMUNITIES 01.04.16 TO 31.03.2017</t>
  </si>
  <si>
    <t>Brick &amp; mortar branches opened during the quarter ended 31st March 2017</t>
  </si>
  <si>
    <t>Total brick and mortar opened upto the end of the quarter 31st March 2017</t>
  </si>
  <si>
    <t xml:space="preserve">Deomau Dalal
</t>
  </si>
  <si>
    <t xml:space="preserve">N.B: </t>
  </si>
  <si>
    <t>1. Union Bank of India is allotted: Jawasa (Earlier it was allotted to Bank of Maharashtra)</t>
  </si>
  <si>
    <t>2. Allahabad Bank allotted the village Deomal Dalal in Satna Dist. (Deomal Dalal village is included in the place of Gantha village as per recommendation of LDM, Satna)</t>
  </si>
  <si>
    <t>Satement of Progress during the quarter ended 31st March 2017</t>
  </si>
  <si>
    <t>FEMALE</t>
  </si>
  <si>
    <t>General</t>
  </si>
  <si>
    <t>PSBs Grand Total</t>
  </si>
  <si>
    <t>RRBs Sub Total</t>
  </si>
  <si>
    <t>PVT. Banks Sub Total</t>
  </si>
  <si>
    <t>Amount in crores</t>
  </si>
  <si>
    <t>TABLE: 29</t>
  </si>
  <si>
    <t>Bank Wise Mission's Progress   (Progress Upto 31/03/2017)
FY 2016-17</t>
  </si>
  <si>
    <t>Achievement Percentage</t>
  </si>
  <si>
    <t>PROGRESS UNDER STAND UP INDIA SCHEME AS ON 31.03.2017</t>
  </si>
  <si>
    <t>SOCIAL SECURITY SCHEMES</t>
  </si>
  <si>
    <t>PMJJBY</t>
  </si>
  <si>
    <t>PMSBY</t>
  </si>
  <si>
    <t>APY</t>
  </si>
  <si>
    <t>UPDATED ON</t>
  </si>
  <si>
    <t>10/03/2017</t>
  </si>
  <si>
    <t>13/04/2017</t>
  </si>
  <si>
    <t>18/01/2017</t>
  </si>
  <si>
    <t>17/12/2016</t>
  </si>
  <si>
    <t>23/09/2016</t>
  </si>
  <si>
    <t>28/11/2016</t>
  </si>
  <si>
    <t>17/05/2017</t>
  </si>
  <si>
    <t>06/02/2017</t>
  </si>
  <si>
    <t>12/04/2017</t>
  </si>
  <si>
    <t>17/01/2017</t>
  </si>
  <si>
    <t>29/11/2016</t>
  </si>
  <si>
    <t>09/01/2017</t>
  </si>
  <si>
    <t>24/10/2016</t>
  </si>
  <si>
    <t>15/04/2017</t>
  </si>
  <si>
    <t>21/02/2017</t>
  </si>
  <si>
    <t>11/01/2017</t>
  </si>
  <si>
    <t>PSBs SUB TOTAL</t>
  </si>
  <si>
    <t>14/04/2017</t>
  </si>
  <si>
    <t>06/05/2017</t>
  </si>
  <si>
    <t>19/04/2017</t>
  </si>
  <si>
    <t>07/01/2017</t>
  </si>
  <si>
    <t>27/03/2017</t>
  </si>
  <si>
    <t>30/11/2016</t>
  </si>
  <si>
    <t>PRIVATE BANK SUB TOTAL</t>
  </si>
  <si>
    <t>22/03/2017</t>
  </si>
  <si>
    <t xml:space="preserve"> REGIONAL RURAL BANK SUB TOTAL</t>
  </si>
  <si>
    <t>Bombay Mercantile Bank</t>
  </si>
  <si>
    <t>17/04/2017</t>
  </si>
  <si>
    <t>Nagpur Sahakari Bank</t>
  </si>
  <si>
    <t>shivalik mercantile bank</t>
  </si>
  <si>
    <t>CO-OPERATIVE BANK SUB TOTAL</t>
  </si>
  <si>
    <t>Crop</t>
  </si>
  <si>
    <t>TL</t>
  </si>
  <si>
    <t>Data Table: 164 SLBC Meeting, M.P</t>
  </si>
  <si>
    <t>Page No.</t>
  </si>
  <si>
    <t>Data Table 164 SLBC Meeting, M.P.</t>
  </si>
  <si>
    <t>Data Table 164 SLBC Meeting</t>
  </si>
  <si>
    <t>Page No</t>
  </si>
  <si>
    <t xml:space="preserve">Sl. no. </t>
  </si>
  <si>
    <t xml:space="preserve">NO. </t>
  </si>
  <si>
    <t>Bank Credit linkage information of M.P.State Rural Livelihood Mission (SRLM) for the period 1st April 2016 To 31st March 2017.....  (Amount in lakhs.)</t>
  </si>
  <si>
    <t xml:space="preserve">Name of district </t>
  </si>
  <si>
    <t>Target 2016-17</t>
  </si>
  <si>
    <t xml:space="preserve">Submitted cases </t>
  </si>
  <si>
    <t xml:space="preserve">Sanction cases     </t>
  </si>
  <si>
    <t>Disbursement 
(Amt.in lakhs)</t>
  </si>
  <si>
    <t>Percentage 
(%)</t>
  </si>
  <si>
    <t xml:space="preserve">Bhopal </t>
  </si>
  <si>
    <t xml:space="preserve">Katni </t>
  </si>
  <si>
    <t xml:space="preserve">Dewas </t>
  </si>
  <si>
    <t xml:space="preserve">Sehore </t>
  </si>
  <si>
    <t xml:space="preserve">Singroli </t>
  </si>
  <si>
    <t xml:space="preserve">Satna </t>
  </si>
  <si>
    <t xml:space="preserve">Jhabua </t>
  </si>
  <si>
    <t xml:space="preserve">Dhar </t>
  </si>
  <si>
    <t xml:space="preserve">Hoshangabad </t>
  </si>
  <si>
    <t xml:space="preserve">Alirajpur </t>
  </si>
  <si>
    <t xml:space="preserve">Barwani </t>
  </si>
  <si>
    <t xml:space="preserve">Damoh </t>
  </si>
  <si>
    <t xml:space="preserve">Mandla </t>
  </si>
  <si>
    <t xml:space="preserve">Rajgarh </t>
  </si>
  <si>
    <t xml:space="preserve">Indore </t>
  </si>
  <si>
    <t xml:space="preserve">Shivpuri  </t>
  </si>
  <si>
    <t xml:space="preserve">Agar </t>
  </si>
  <si>
    <t xml:space="preserve">Anuppur </t>
  </si>
  <si>
    <t xml:space="preserve">Tikamgarh </t>
  </si>
  <si>
    <t xml:space="preserve">Khandwa </t>
  </si>
  <si>
    <t xml:space="preserve">Rewa </t>
  </si>
  <si>
    <t xml:space="preserve">Raisen </t>
  </si>
  <si>
    <t xml:space="preserve">Shahdol </t>
  </si>
  <si>
    <t xml:space="preserve">Sheopur  </t>
  </si>
  <si>
    <t xml:space="preserve">Sidhi </t>
  </si>
  <si>
    <t xml:space="preserve">Chhatarpur </t>
  </si>
  <si>
    <t xml:space="preserve">Mandsaur </t>
  </si>
  <si>
    <t xml:space="preserve">Sagar  </t>
  </si>
  <si>
    <t xml:space="preserve">Ratlam </t>
  </si>
  <si>
    <t xml:space="preserve">Panna </t>
  </si>
  <si>
    <t xml:space="preserve">Dindori </t>
  </si>
  <si>
    <t xml:space="preserve">Gwalior </t>
  </si>
  <si>
    <t xml:space="preserve">Vidisha  </t>
  </si>
  <si>
    <t xml:space="preserve">Chhindwara </t>
  </si>
  <si>
    <t xml:space="preserve">Ujjain </t>
  </si>
  <si>
    <t xml:space="preserve">Narsinghpur </t>
  </si>
  <si>
    <t xml:space="preserve">Guna </t>
  </si>
  <si>
    <t xml:space="preserve">Seoni </t>
  </si>
  <si>
    <t xml:space="preserve">Neemuch </t>
  </si>
  <si>
    <t xml:space="preserve">Jabalpur </t>
  </si>
  <si>
    <t xml:space="preserve">Balaghat </t>
  </si>
  <si>
    <t xml:space="preserve">Khargone </t>
  </si>
  <si>
    <t xml:space="preserve">Umeria </t>
  </si>
  <si>
    <t xml:space="preserve">Shajapur </t>
  </si>
  <si>
    <t xml:space="preserve">Datia </t>
  </si>
  <si>
    <t xml:space="preserve">Burhanpur </t>
  </si>
  <si>
    <t xml:space="preserve">Betul </t>
  </si>
  <si>
    <t xml:space="preserve">Ashoknagar </t>
  </si>
  <si>
    <t xml:space="preserve">Harda </t>
  </si>
  <si>
    <t xml:space="preserve">Bhind </t>
  </si>
  <si>
    <t xml:space="preserve">Morena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</si>
</sst>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[$-409]mmm\-yy;@"/>
  </numFmts>
  <fonts count="63">
    <font>
      <sz val="10"/>
      <color theme="4" tint="-0.2499465926084170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  <charset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49"/>
      <name val="Calibri"/>
      <family val="2"/>
    </font>
    <font>
      <sz val="8"/>
      <name val="Calibri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.5"/>
      <name val="Times New Roman"/>
      <family val="1"/>
    </font>
    <font>
      <sz val="14"/>
      <name val="Times New Roman"/>
      <family val="1"/>
    </font>
    <font>
      <b/>
      <sz val="10.5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0"/>
      <color theme="4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4" tint="-0.24994659260841701"/>
      <name val="Calibri"/>
      <family val="2"/>
    </font>
    <font>
      <sz val="14"/>
      <color theme="4" tint="-0.24994659260841701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0.5"/>
      <color rgb="FFFF0000"/>
      <name val="Times New Roman"/>
      <family val="1"/>
    </font>
    <font>
      <sz val="10.5"/>
      <color rgb="FFFF0000"/>
      <name val="Times New Roman"/>
      <family val="1"/>
    </font>
    <font>
      <sz val="10"/>
      <color theme="4" tint="-0.2499465926084170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4"/>
      <color theme="1"/>
      <name val="Times New Roman"/>
      <family val="1"/>
    </font>
    <font>
      <sz val="11"/>
      <name val="Calibri"/>
      <family val="2"/>
    </font>
    <font>
      <b/>
      <sz val="10"/>
      <color theme="4" tint="-0.24994659260841701"/>
      <name val="Times New Roman"/>
      <family val="1"/>
    </font>
    <font>
      <sz val="10.45"/>
      <name val="Times New Roman"/>
      <family val="1"/>
    </font>
    <font>
      <b/>
      <sz val="10.45"/>
      <name val="Times New Roman"/>
      <family val="1"/>
    </font>
    <font>
      <b/>
      <sz val="8"/>
      <name val="Tahoma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Tahoma"/>
      <family val="2"/>
    </font>
    <font>
      <sz val="11"/>
      <name val="Calibri"/>
      <family val="2"/>
      <scheme val="minor"/>
    </font>
    <font>
      <b/>
      <sz val="11.95"/>
      <name val="Arial"/>
      <family val="2"/>
    </font>
    <font>
      <sz val="8"/>
      <name val="Tahoma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theme="0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b/>
      <sz val="12"/>
      <color theme="1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2"/>
      <name val="Times New Roman"/>
      <family val="1"/>
    </font>
    <font>
      <b/>
      <sz val="12"/>
      <color theme="1"/>
      <name val="Ti,E"/>
    </font>
    <font>
      <sz val="12"/>
      <color theme="1"/>
      <name val="Ti,E"/>
    </font>
    <font>
      <b/>
      <sz val="10"/>
      <color theme="1"/>
      <name val="Ti,E"/>
    </font>
    <font>
      <sz val="10"/>
      <color theme="1"/>
      <name val="Ti,E"/>
    </font>
    <font>
      <b/>
      <sz val="11"/>
      <color theme="1"/>
      <name val="Ti,E"/>
    </font>
    <font>
      <sz val="11"/>
      <color theme="1"/>
      <name val="Ti,E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0">
    <xf numFmtId="0" fontId="0" fillId="0" borderId="0">
      <alignment vertical="top" wrapText="1"/>
    </xf>
    <xf numFmtId="164" fontId="21" fillId="0" borderId="0" applyFont="0" applyFill="0" applyBorder="0" applyAlignment="0" applyProtection="0"/>
    <xf numFmtId="43" fontId="13" fillId="0" borderId="0" applyFill="0" applyBorder="0" applyAlignment="0" applyProtection="0"/>
    <xf numFmtId="0" fontId="5" fillId="0" borderId="0"/>
    <xf numFmtId="0" fontId="1" fillId="0" borderId="0"/>
    <xf numFmtId="0" fontId="20" fillId="0" borderId="0" applyNumberFormat="0" applyFill="0" applyBorder="0" applyAlignment="0" applyProtection="0">
      <alignment vertical="top" wrapText="1"/>
    </xf>
    <xf numFmtId="0" fontId="22" fillId="0" borderId="0" applyNumberFormat="0" applyFill="0" applyBorder="0" applyProtection="0">
      <alignment vertical="center"/>
    </xf>
    <xf numFmtId="0" fontId="22" fillId="0" borderId="0" applyNumberFormat="0" applyFill="0" applyBorder="0" applyProtection="0">
      <alignment vertical="center"/>
    </xf>
    <xf numFmtId="0" fontId="22" fillId="0" borderId="0" applyNumberFormat="0" applyFill="0" applyBorder="0" applyProtection="0">
      <alignment vertical="center"/>
    </xf>
    <xf numFmtId="0" fontId="22" fillId="0" borderId="0" applyNumberFormat="0" applyFill="0" applyBorder="0" applyProtection="0">
      <alignment vertical="center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 wrapText="1"/>
    </xf>
    <xf numFmtId="0" fontId="13" fillId="0" borderId="0"/>
    <xf numFmtId="0" fontId="25" fillId="0" borderId="0"/>
    <xf numFmtId="0" fontId="20" fillId="0" borderId="0">
      <alignment vertical="top" wrapText="1"/>
    </xf>
    <xf numFmtId="0" fontId="25" fillId="0" borderId="0"/>
    <xf numFmtId="0" fontId="20" fillId="0" borderId="0">
      <alignment vertical="top" wrapText="1"/>
    </xf>
    <xf numFmtId="0" fontId="25" fillId="0" borderId="0"/>
    <xf numFmtId="0" fontId="25" fillId="0" borderId="0"/>
    <xf numFmtId="0" fontId="8" fillId="0" borderId="0">
      <alignment vertical="top" wrapText="1"/>
    </xf>
    <xf numFmtId="0" fontId="20" fillId="0" borderId="0">
      <alignment vertical="top" wrapText="1"/>
    </xf>
    <xf numFmtId="0" fontId="25" fillId="0" borderId="0"/>
    <xf numFmtId="0" fontId="25" fillId="0" borderId="0"/>
    <xf numFmtId="0" fontId="25" fillId="0" borderId="0"/>
    <xf numFmtId="0" fontId="14" fillId="0" borderId="0"/>
    <xf numFmtId="0" fontId="20" fillId="0" borderId="0">
      <alignment vertical="top" wrapText="1"/>
    </xf>
    <xf numFmtId="0" fontId="25" fillId="0" borderId="0"/>
    <xf numFmtId="0" fontId="20" fillId="0" borderId="0">
      <alignment vertical="top" wrapText="1"/>
    </xf>
    <xf numFmtId="0" fontId="20" fillId="0" borderId="0">
      <alignment vertical="top" wrapText="1"/>
    </xf>
    <xf numFmtId="0" fontId="25" fillId="0" borderId="0"/>
    <xf numFmtId="0" fontId="12" fillId="0" borderId="0"/>
    <xf numFmtId="0" fontId="20" fillId="0" borderId="0">
      <alignment vertical="top" wrapText="1"/>
    </xf>
    <xf numFmtId="0" fontId="20" fillId="0" borderId="0">
      <alignment vertical="top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>
      <alignment vertical="top" wrapText="1"/>
    </xf>
    <xf numFmtId="0" fontId="8" fillId="0" borderId="0">
      <alignment vertical="top" wrapText="1"/>
    </xf>
    <xf numFmtId="0" fontId="20" fillId="0" borderId="0">
      <alignment vertical="top" wrapText="1"/>
    </xf>
    <xf numFmtId="0" fontId="21" fillId="0" borderId="0"/>
    <xf numFmtId="0" fontId="20" fillId="0" borderId="0">
      <alignment vertical="top" wrapText="1"/>
    </xf>
    <xf numFmtId="0" fontId="8" fillId="0" borderId="0">
      <alignment vertical="top" wrapText="1"/>
    </xf>
    <xf numFmtId="0" fontId="20" fillId="0" borderId="0">
      <alignment vertical="top" wrapText="1"/>
    </xf>
    <xf numFmtId="0" fontId="21" fillId="0" borderId="0"/>
    <xf numFmtId="9" fontId="8" fillId="0" borderId="0" applyFont="0" applyFill="0" applyBorder="0" applyAlignment="0" applyProtection="0"/>
    <xf numFmtId="0" fontId="13" fillId="0" borderId="0"/>
  </cellStyleXfs>
  <cellXfs count="766">
    <xf numFmtId="0" fontId="0" fillId="0" borderId="0" xfId="0">
      <alignment vertical="top" wrapText="1"/>
    </xf>
    <xf numFmtId="0" fontId="7" fillId="2" borderId="1" xfId="0" applyFont="1" applyFill="1" applyBorder="1" applyAlignment="1">
      <alignment vertical="center"/>
    </xf>
    <xf numFmtId="2" fontId="3" fillId="2" borderId="0" xfId="0" applyNumberFormat="1" applyFont="1" applyFill="1" applyProtection="1">
      <alignment vertical="top" wrapTex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2" fillId="2" borderId="0" xfId="0" applyFont="1" applyFill="1">
      <alignment vertical="top" wrapText="1"/>
    </xf>
    <xf numFmtId="1" fontId="2" fillId="2" borderId="0" xfId="0" applyNumberFormat="1" applyFont="1" applyFill="1">
      <alignment vertical="top" wrapText="1"/>
    </xf>
    <xf numFmtId="1" fontId="2" fillId="2" borderId="0" xfId="0" applyNumberFormat="1" applyFont="1" applyFill="1" applyAlignment="1" applyProtection="1">
      <alignment horizontal="right" vertical="top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2" fontId="26" fillId="2" borderId="1" xfId="0" applyNumberFormat="1" applyFont="1" applyFill="1" applyBorder="1" applyAlignment="1">
      <alignment vertical="center"/>
    </xf>
    <xf numFmtId="0" fontId="26" fillId="2" borderId="1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/>
    </xf>
    <xf numFmtId="2" fontId="29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/>
    </xf>
    <xf numFmtId="2" fontId="27" fillId="2" borderId="1" xfId="0" applyNumberFormat="1" applyFont="1" applyFill="1" applyBorder="1" applyAlignment="1">
      <alignment vertical="center"/>
    </xf>
    <xf numFmtId="0" fontId="27" fillId="2" borderId="0" xfId="0" applyFont="1" applyFill="1" applyAlignment="1">
      <alignment horizontal="center" vertical="center"/>
    </xf>
    <xf numFmtId="2" fontId="27" fillId="2" borderId="0" xfId="0" applyNumberFormat="1" applyFont="1" applyFill="1" applyAlignment="1">
      <alignment vertical="center"/>
    </xf>
    <xf numFmtId="0" fontId="26" fillId="2" borderId="0" xfId="0" applyFont="1" applyFill="1" applyAlignment="1">
      <alignment vertical="center"/>
    </xf>
    <xf numFmtId="1" fontId="2" fillId="2" borderId="0" xfId="0" applyNumberFormat="1" applyFont="1" applyFill="1" applyAlignment="1" applyProtection="1">
      <alignment horizontal="right" vertical="center"/>
      <protection locked="0"/>
    </xf>
    <xf numFmtId="1" fontId="2" fillId="2" borderId="0" xfId="0" applyNumberFormat="1" applyFont="1" applyFill="1" applyProtection="1">
      <alignment vertical="top" wrapText="1"/>
      <protection locked="0"/>
    </xf>
    <xf numFmtId="1" fontId="3" fillId="2" borderId="0" xfId="0" applyNumberFormat="1" applyFont="1" applyFill="1" applyProtection="1">
      <alignment vertical="top" wrapText="1"/>
      <protection locked="0"/>
    </xf>
    <xf numFmtId="2" fontId="2" fillId="2" borderId="0" xfId="0" applyNumberFormat="1" applyFont="1" applyFill="1">
      <alignment vertical="top" wrapText="1"/>
    </xf>
    <xf numFmtId="0" fontId="3" fillId="2" borderId="0" xfId="0" applyFont="1" applyFill="1" applyProtection="1">
      <alignment vertical="top" wrapText="1"/>
      <protection locked="0"/>
    </xf>
    <xf numFmtId="2" fontId="2" fillId="2" borderId="0" xfId="0" applyNumberFormat="1" applyFont="1" applyFill="1" applyProtection="1">
      <alignment vertical="top"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7" fillId="2" borderId="0" xfId="0" applyFont="1" applyFill="1" applyProtection="1">
      <alignment vertical="top" wrapText="1"/>
      <protection locked="0"/>
    </xf>
    <xf numFmtId="2" fontId="7" fillId="2" borderId="0" xfId="0" applyNumberFormat="1" applyFont="1" applyFill="1" applyAlignment="1" applyProtection="1">
      <alignment horizontal="center" vertical="top" wrapText="1"/>
      <protection locked="0"/>
    </xf>
    <xf numFmtId="2" fontId="6" fillId="2" borderId="0" xfId="0" applyNumberFormat="1" applyFont="1" applyFill="1" applyProtection="1">
      <alignment vertical="top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1" fontId="7" fillId="2" borderId="0" xfId="0" applyNumberFormat="1" applyFont="1" applyFill="1" applyProtection="1">
      <alignment vertical="top" wrapText="1"/>
      <protection locked="0"/>
    </xf>
    <xf numFmtId="2" fontId="7" fillId="2" borderId="0" xfId="0" applyNumberFormat="1" applyFont="1" applyFill="1" applyProtection="1">
      <alignment vertical="top" wrapText="1"/>
      <protection locked="0"/>
    </xf>
    <xf numFmtId="0" fontId="16" fillId="2" borderId="0" xfId="0" applyFont="1" applyFill="1" applyProtection="1">
      <alignment vertical="top" wrapText="1"/>
      <protection locked="0"/>
    </xf>
    <xf numFmtId="2" fontId="16" fillId="2" borderId="0" xfId="0" applyNumberFormat="1" applyFont="1" applyFill="1" applyAlignment="1" applyProtection="1">
      <alignment horizontal="center" vertical="center" wrapText="1"/>
      <protection locked="0"/>
    </xf>
    <xf numFmtId="1" fontId="16" fillId="2" borderId="0" xfId="0" applyNumberFormat="1" applyFont="1" applyFill="1" applyProtection="1">
      <alignment vertical="top" wrapText="1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1" fontId="6" fillId="2" borderId="0" xfId="0" applyNumberFormat="1" applyFont="1" applyFill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vertical="center" wrapText="1"/>
      <protection locked="0"/>
    </xf>
    <xf numFmtId="1" fontId="6" fillId="2" borderId="3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" xfId="0" applyNumberFormat="1" applyFont="1" applyFill="1" applyBorder="1" applyAlignment="1" applyProtection="1">
      <alignment horizontal="right" vertical="center" wrapText="1"/>
    </xf>
    <xf numFmtId="2" fontId="6" fillId="2" borderId="0" xfId="0" applyNumberFormat="1" applyFont="1" applyFill="1" applyAlignment="1" applyProtection="1">
      <alignment vertical="center"/>
      <protection locked="0"/>
    </xf>
    <xf numFmtId="1" fontId="16" fillId="2" borderId="0" xfId="0" applyNumberFormat="1" applyFont="1" applyFill="1" applyAlignment="1" applyProtection="1">
      <alignment horizontal="right" vertical="top" wrapText="1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1" fontId="16" fillId="2" borderId="0" xfId="0" applyNumberFormat="1" applyFont="1" applyFill="1" applyAlignment="1" applyProtection="1">
      <alignment horizontal="right" vertical="center"/>
      <protection locked="0"/>
    </xf>
    <xf numFmtId="0" fontId="15" fillId="2" borderId="0" xfId="0" applyFont="1" applyFill="1" applyProtection="1">
      <alignment vertical="top" wrapText="1"/>
      <protection locked="0"/>
    </xf>
    <xf numFmtId="0" fontId="17" fillId="2" borderId="9" xfId="0" applyFont="1" applyFill="1" applyBorder="1" applyAlignment="1" applyProtection="1">
      <alignment vertical="center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1" xfId="56" applyFont="1" applyFill="1" applyBorder="1" applyAlignment="1" applyProtection="1">
      <alignment horizontal="center" vertical="top" wrapText="1"/>
      <protection locked="0"/>
    </xf>
    <xf numFmtId="0" fontId="15" fillId="2" borderId="1" xfId="56" applyFont="1" applyFill="1" applyBorder="1" applyAlignment="1"/>
    <xf numFmtId="1" fontId="15" fillId="2" borderId="1" xfId="56" applyNumberFormat="1" applyFont="1" applyFill="1" applyBorder="1" applyAlignment="1" applyProtection="1">
      <alignment horizontal="right" vertical="center" wrapText="1"/>
    </xf>
    <xf numFmtId="1" fontId="15" fillId="2" borderId="1" xfId="0" applyNumberFormat="1" applyFont="1" applyFill="1" applyBorder="1" applyAlignment="1" applyProtection="1">
      <alignment horizontal="right" vertical="center" wrapText="1"/>
    </xf>
    <xf numFmtId="2" fontId="15" fillId="2" borderId="1" xfId="56" applyNumberFormat="1" applyFont="1" applyFill="1" applyBorder="1" applyAlignment="1" applyProtection="1">
      <alignment horizontal="right" vertical="center" wrapText="1"/>
    </xf>
    <xf numFmtId="1" fontId="15" fillId="3" borderId="1" xfId="0" applyNumberFormat="1" applyFont="1" applyFill="1" applyBorder="1" applyAlignment="1">
      <alignment horizontal="right" vertical="top" wrapText="1"/>
    </xf>
    <xf numFmtId="1" fontId="15" fillId="2" borderId="1" xfId="56" applyNumberFormat="1" applyFont="1" applyFill="1" applyBorder="1" applyAlignment="1" applyProtection="1">
      <alignment horizontal="right" vertical="center"/>
      <protection locked="0"/>
    </xf>
    <xf numFmtId="1" fontId="15" fillId="2" borderId="1" xfId="56" applyNumberFormat="1" applyFont="1" applyFill="1" applyBorder="1" applyAlignment="1" applyProtection="1">
      <alignment horizontal="right" vertical="top" wrapText="1"/>
      <protection locked="0"/>
    </xf>
    <xf numFmtId="1" fontId="15" fillId="2" borderId="1" xfId="0" applyNumberFormat="1" applyFont="1" applyFill="1" applyBorder="1" applyAlignment="1">
      <alignment horizontal="right" vertical="center" wrapText="1"/>
    </xf>
    <xf numFmtId="1" fontId="15" fillId="2" borderId="1" xfId="18" applyNumberFormat="1" applyFont="1" applyFill="1" applyBorder="1" applyAlignment="1" applyProtection="1">
      <alignment horizontal="right" vertical="center" wrapText="1"/>
    </xf>
    <xf numFmtId="1" fontId="15" fillId="2" borderId="1" xfId="51" applyNumberFormat="1" applyFont="1" applyFill="1" applyBorder="1" applyAlignment="1" applyProtection="1">
      <alignment horizontal="right" vertical="center" wrapText="1"/>
      <protection locked="0"/>
    </xf>
    <xf numFmtId="1" fontId="15" fillId="2" borderId="1" xfId="23" applyNumberFormat="1" applyFont="1" applyFill="1" applyBorder="1" applyAlignment="1" applyProtection="1">
      <alignment horizontal="right" vertical="center" wrapText="1"/>
      <protection locked="0"/>
    </xf>
    <xf numFmtId="0" fontId="17" fillId="2" borderId="1" xfId="56" applyFont="1" applyFill="1" applyBorder="1" applyAlignment="1"/>
    <xf numFmtId="1" fontId="17" fillId="2" borderId="1" xfId="56" applyNumberFormat="1" applyFont="1" applyFill="1" applyBorder="1" applyAlignment="1" applyProtection="1">
      <alignment horizontal="right" vertical="center"/>
      <protection locked="0"/>
    </xf>
    <xf numFmtId="2" fontId="17" fillId="2" borderId="1" xfId="56" applyNumberFormat="1" applyFont="1" applyFill="1" applyBorder="1" applyAlignment="1" applyProtection="1">
      <alignment horizontal="right" vertical="center" wrapText="1"/>
    </xf>
    <xf numFmtId="1" fontId="15" fillId="2" borderId="1" xfId="56" applyNumberFormat="1" applyFont="1" applyFill="1" applyBorder="1" applyAlignment="1" applyProtection="1">
      <alignment horizontal="right" wrapText="1"/>
    </xf>
    <xf numFmtId="0" fontId="15" fillId="2" borderId="1" xfId="56" applyFont="1" applyFill="1" applyBorder="1" applyAlignment="1">
      <alignment horizontal="left" vertical="center" wrapText="1"/>
    </xf>
    <xf numFmtId="1" fontId="15" fillId="4" borderId="1" xfId="0" applyNumberFormat="1" applyFont="1" applyFill="1" applyBorder="1" applyAlignment="1">
      <alignment horizontal="right"/>
    </xf>
    <xf numFmtId="1" fontId="15" fillId="2" borderId="1" xfId="0" applyNumberFormat="1" applyFont="1" applyFill="1" applyBorder="1" applyAlignment="1">
      <alignment horizontal="right"/>
    </xf>
    <xf numFmtId="1" fontId="15" fillId="2" borderId="1" xfId="18" applyNumberFormat="1" applyFont="1" applyFill="1" applyBorder="1" applyAlignment="1" applyProtection="1">
      <alignment horizontal="right" vertical="center" wrapText="1"/>
      <protection locked="0"/>
    </xf>
    <xf numFmtId="1" fontId="15" fillId="2" borderId="1" xfId="18" applyNumberFormat="1" applyFont="1" applyFill="1" applyBorder="1" applyAlignment="1" applyProtection="1">
      <alignment horizontal="right" wrapText="1"/>
      <protection locked="0"/>
    </xf>
    <xf numFmtId="0" fontId="6" fillId="2" borderId="0" xfId="0" applyFont="1" applyFill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>
      <alignment horizontal="left" vertical="center" wrapText="1"/>
    </xf>
    <xf numFmtId="1" fontId="6" fillId="2" borderId="12" xfId="0" applyNumberFormat="1" applyFont="1" applyFill="1" applyBorder="1" applyAlignment="1" applyProtection="1">
      <alignment vertical="top" wrapText="1"/>
      <protection locked="0"/>
    </xf>
    <xf numFmtId="1" fontId="28" fillId="2" borderId="1" xfId="0" applyNumberFormat="1" applyFont="1" applyFill="1" applyBorder="1" applyAlignment="1">
      <alignment horizontal="right" vertical="center"/>
    </xf>
    <xf numFmtId="2" fontId="29" fillId="2" borderId="1" xfId="0" applyNumberFormat="1" applyFont="1" applyFill="1" applyBorder="1" applyAlignment="1">
      <alignment horizontal="right" vertical="center"/>
    </xf>
    <xf numFmtId="0" fontId="28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wrapText="1"/>
    </xf>
    <xf numFmtId="1" fontId="29" fillId="2" borderId="1" xfId="0" applyNumberFormat="1" applyFont="1" applyFill="1" applyBorder="1" applyAlignment="1">
      <alignment horizontal="right" vertical="center"/>
    </xf>
    <xf numFmtId="1" fontId="18" fillId="3" borderId="1" xfId="0" applyNumberFormat="1" applyFont="1" applyFill="1" applyBorder="1" applyAlignment="1">
      <alignment horizontal="right" vertical="center"/>
    </xf>
    <xf numFmtId="0" fontId="30" fillId="2" borderId="1" xfId="0" applyFont="1" applyFill="1" applyBorder="1" applyAlignment="1">
      <alignment vertical="center"/>
    </xf>
    <xf numFmtId="1" fontId="17" fillId="2" borderId="1" xfId="0" applyNumberFormat="1" applyFont="1" applyFill="1" applyBorder="1" applyAlignment="1">
      <alignment horizontal="right" vertical="center"/>
    </xf>
    <xf numFmtId="2" fontId="17" fillId="2" borderId="1" xfId="0" applyNumberFormat="1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1" fontId="15" fillId="2" borderId="1" xfId="0" applyNumberFormat="1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vertical="center"/>
    </xf>
    <xf numFmtId="0" fontId="15" fillId="2" borderId="11" xfId="0" applyFont="1" applyFill="1" applyBorder="1" applyAlignment="1">
      <alignment vertical="center" wrapText="1"/>
    </xf>
    <xf numFmtId="0" fontId="15" fillId="2" borderId="11" xfId="0" applyFont="1" applyFill="1" applyBorder="1" applyAlignment="1"/>
    <xf numFmtId="0" fontId="15" fillId="2" borderId="13" xfId="0" applyFont="1" applyFill="1" applyBorder="1" applyAlignment="1"/>
    <xf numFmtId="0" fontId="15" fillId="2" borderId="0" xfId="0" applyFont="1" applyFill="1" applyBorder="1" applyAlignment="1">
      <alignment wrapText="1"/>
    </xf>
    <xf numFmtId="0" fontId="17" fillId="2" borderId="11" xfId="0" applyFont="1" applyFill="1" applyBorder="1" applyAlignment="1">
      <alignment vertical="center"/>
    </xf>
    <xf numFmtId="1" fontId="17" fillId="2" borderId="1" xfId="0" applyNumberFormat="1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2" fontId="15" fillId="2" borderId="0" xfId="0" applyNumberFormat="1" applyFont="1" applyFill="1" applyAlignment="1">
      <alignment vertical="center"/>
    </xf>
    <xf numFmtId="2" fontId="17" fillId="2" borderId="1" xfId="0" applyNumberFormat="1" applyFont="1" applyFill="1" applyBorder="1" applyAlignment="1">
      <alignment horizontal="center" vertical="center"/>
    </xf>
    <xf numFmtId="1" fontId="15" fillId="2" borderId="0" xfId="0" applyNumberFormat="1" applyFont="1" applyFill="1" applyAlignment="1">
      <alignment vertical="center"/>
    </xf>
    <xf numFmtId="1" fontId="17" fillId="2" borderId="0" xfId="0" applyNumberFormat="1" applyFont="1" applyFill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15" fillId="2" borderId="1" xfId="58" applyNumberFormat="1" applyFont="1" applyFill="1" applyBorder="1" applyAlignment="1">
      <alignment vertical="center"/>
    </xf>
    <xf numFmtId="2" fontId="17" fillId="2" borderId="1" xfId="58" applyNumberFormat="1" applyFont="1" applyFill="1" applyBorder="1" applyAlignment="1">
      <alignment vertical="center"/>
    </xf>
    <xf numFmtId="1" fontId="15" fillId="2" borderId="13" xfId="0" applyNumberFormat="1" applyFont="1" applyFill="1" applyBorder="1" applyAlignment="1"/>
    <xf numFmtId="1" fontId="15" fillId="2" borderId="11" xfId="0" applyNumberFormat="1" applyFont="1" applyFill="1" applyBorder="1" applyAlignment="1">
      <alignment vertical="center"/>
    </xf>
    <xf numFmtId="1" fontId="15" fillId="2" borderId="0" xfId="0" applyNumberFormat="1" applyFont="1" applyFill="1" applyBorder="1" applyAlignment="1">
      <alignment wrapText="1"/>
    </xf>
    <xf numFmtId="1" fontId="15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vertical="center" wrapText="1"/>
    </xf>
    <xf numFmtId="1" fontId="17" fillId="2" borderId="11" xfId="0" applyNumberFormat="1" applyFont="1" applyFill="1" applyBorder="1" applyAlignment="1">
      <alignment vertical="center"/>
    </xf>
    <xf numFmtId="1" fontId="15" fillId="2" borderId="11" xfId="0" applyNumberFormat="1" applyFont="1" applyFill="1" applyBorder="1" applyAlignment="1">
      <alignment vertical="center" wrapText="1"/>
    </xf>
    <xf numFmtId="1" fontId="15" fillId="2" borderId="13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1" fontId="3" fillId="2" borderId="1" xfId="0" applyNumberFormat="1" applyFont="1" applyFill="1" applyBorder="1" applyAlignment="1" applyProtection="1">
      <alignment horizontal="right" vertical="top" wrapText="1"/>
      <protection locked="0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1" fontId="2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2" fillId="2" borderId="0" xfId="0" applyNumberFormat="1" applyFont="1" applyFill="1" applyAlignment="1" applyProtection="1">
      <alignment horizontal="center" vertical="top" wrapText="1"/>
      <protection locked="0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/>
    </xf>
    <xf numFmtId="2" fontId="29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0" fontId="2" fillId="2" borderId="0" xfId="0" applyFont="1" applyFill="1" applyAlignment="1" applyProtection="1">
      <alignment vertical="center" wrapText="1"/>
      <protection locked="0"/>
    </xf>
    <xf numFmtId="1" fontId="2" fillId="2" borderId="13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0" xfId="0" applyNumberFormat="1" applyFont="1" applyFill="1" applyAlignment="1" applyProtection="1">
      <alignment horizontal="center" vertical="top" wrapText="1"/>
      <protection locked="0"/>
    </xf>
    <xf numFmtId="1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>
      <alignment vertical="top"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8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16" fillId="2" borderId="0" xfId="0" applyFont="1" applyFill="1" applyAlignment="1" applyProtection="1">
      <alignment vertical="center"/>
      <protection locked="0"/>
    </xf>
    <xf numFmtId="1" fontId="29" fillId="2" borderId="0" xfId="0" applyNumberFormat="1" applyFont="1" applyFill="1" applyAlignment="1">
      <alignment vertical="center"/>
    </xf>
    <xf numFmtId="1" fontId="28" fillId="2" borderId="0" xfId="0" applyNumberFormat="1" applyFont="1" applyFill="1" applyAlignment="1">
      <alignment vertical="center"/>
    </xf>
    <xf numFmtId="2" fontId="29" fillId="2" borderId="0" xfId="0" applyNumberFormat="1" applyFont="1" applyFill="1" applyAlignment="1">
      <alignment vertical="center"/>
    </xf>
    <xf numFmtId="2" fontId="28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28" fillId="2" borderId="11" xfId="0" applyFont="1" applyFill="1" applyBorder="1" applyAlignment="1">
      <alignment vertical="center"/>
    </xf>
    <xf numFmtId="1" fontId="28" fillId="2" borderId="1" xfId="0" applyNumberFormat="1" applyFont="1" applyFill="1" applyBorder="1" applyAlignment="1">
      <alignment vertical="center"/>
    </xf>
    <xf numFmtId="0" fontId="28" fillId="2" borderId="11" xfId="0" applyFont="1" applyFill="1" applyBorder="1" applyAlignment="1">
      <alignment vertical="center" wrapText="1"/>
    </xf>
    <xf numFmtId="0" fontId="29" fillId="2" borderId="11" xfId="0" applyFont="1" applyFill="1" applyBorder="1" applyAlignment="1">
      <alignment vertical="center"/>
    </xf>
    <xf numFmtId="1" fontId="29" fillId="2" borderId="1" xfId="0" applyNumberFormat="1" applyFont="1" applyFill="1" applyBorder="1" applyAlignment="1">
      <alignment vertical="center"/>
    </xf>
    <xf numFmtId="0" fontId="28" fillId="2" borderId="13" xfId="0" applyFont="1" applyFill="1" applyBorder="1" applyAlignment="1">
      <alignment vertical="center"/>
    </xf>
    <xf numFmtId="1" fontId="19" fillId="2" borderId="0" xfId="0" applyNumberFormat="1" applyFont="1" applyFill="1" applyAlignment="1">
      <alignment vertical="center"/>
    </xf>
    <xf numFmtId="1" fontId="7" fillId="2" borderId="0" xfId="0" applyNumberFormat="1" applyFont="1" applyFill="1" applyAlignment="1" applyProtection="1">
      <alignment vertical="top"/>
      <protection locked="0"/>
    </xf>
    <xf numFmtId="1" fontId="7" fillId="2" borderId="0" xfId="0" applyNumberFormat="1" applyFont="1" applyFill="1" applyAlignment="1" applyProtection="1">
      <alignment horizontal="center" vertical="top" wrapText="1"/>
      <protection locked="0"/>
    </xf>
    <xf numFmtId="1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vertical="center"/>
    </xf>
    <xf numFmtId="1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vertical="center"/>
    </xf>
    <xf numFmtId="1" fontId="2" fillId="2" borderId="0" xfId="0" applyNumberFormat="1" applyFont="1" applyFill="1" applyAlignment="1">
      <alignment vertical="center" wrapText="1"/>
    </xf>
    <xf numFmtId="1" fontId="3" fillId="2" borderId="0" xfId="0" applyNumberFormat="1" applyFont="1" applyFill="1" applyAlignment="1" applyProtection="1">
      <alignment vertical="center" wrapText="1"/>
      <protection locked="0"/>
    </xf>
    <xf numFmtId="1" fontId="2" fillId="2" borderId="0" xfId="0" applyNumberFormat="1" applyFont="1" applyFill="1" applyAlignment="1" applyProtection="1">
      <alignment vertical="center" wrapText="1"/>
      <protection locked="0"/>
    </xf>
    <xf numFmtId="2" fontId="2" fillId="2" borderId="0" xfId="0" applyNumberFormat="1" applyFont="1" applyFill="1" applyAlignment="1">
      <alignment vertical="center" wrapText="1"/>
    </xf>
    <xf numFmtId="1" fontId="17" fillId="2" borderId="1" xfId="0" applyNumberFormat="1" applyFont="1" applyFill="1" applyBorder="1" applyAlignment="1">
      <alignment vertical="center" wrapText="1"/>
    </xf>
    <xf numFmtId="0" fontId="28" fillId="0" borderId="1" xfId="0" applyFont="1" applyBorder="1" applyAlignment="1">
      <alignment horizontal="center" vertical="center"/>
    </xf>
    <xf numFmtId="1" fontId="15" fillId="2" borderId="1" xfId="0" applyNumberFormat="1" applyFont="1" applyFill="1" applyBorder="1">
      <alignment vertical="top" wrapText="1"/>
    </xf>
    <xf numFmtId="0" fontId="29" fillId="0" borderId="1" xfId="0" applyFont="1" applyBorder="1" applyAlignment="1">
      <alignment horizontal="center" vertical="center"/>
    </xf>
    <xf numFmtId="1" fontId="17" fillId="2" borderId="1" xfId="0" applyNumberFormat="1" applyFont="1" applyFill="1" applyBorder="1">
      <alignment vertical="top" wrapText="1"/>
    </xf>
    <xf numFmtId="0" fontId="28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1" fontId="28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0" xfId="0" applyNumberFormat="1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>
      <alignment vertical="center" wrapText="1"/>
    </xf>
    <xf numFmtId="0" fontId="3" fillId="2" borderId="0" xfId="0" applyFont="1" applyFill="1">
      <alignment vertical="top" wrapText="1"/>
    </xf>
    <xf numFmtId="1" fontId="15" fillId="2" borderId="1" xfId="0" applyNumberFormat="1" applyFont="1" applyFill="1" applyBorder="1" applyProtection="1">
      <alignment vertical="top" wrapText="1"/>
      <protection locked="0"/>
    </xf>
    <xf numFmtId="0" fontId="28" fillId="0" borderId="1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1" fontId="17" fillId="2" borderId="1" xfId="0" applyNumberFormat="1" applyFont="1" applyFill="1" applyBorder="1" applyProtection="1">
      <alignment vertical="top" wrapText="1"/>
      <protection locked="0"/>
    </xf>
    <xf numFmtId="0" fontId="28" fillId="0" borderId="17" xfId="0" applyFont="1" applyBorder="1" applyAlignment="1">
      <alignment horizontal="center" vertical="center"/>
    </xf>
    <xf numFmtId="0" fontId="28" fillId="0" borderId="17" xfId="0" applyFont="1" applyBorder="1" applyAlignment="1">
      <alignment vertical="center"/>
    </xf>
    <xf numFmtId="1" fontId="15" fillId="2" borderId="17" xfId="0" applyNumberFormat="1" applyFont="1" applyFill="1" applyBorder="1" applyProtection="1">
      <alignment vertical="top" wrapText="1"/>
      <protection locked="0"/>
    </xf>
    <xf numFmtId="2" fontId="10" fillId="2" borderId="0" xfId="0" applyNumberFormat="1" applyFont="1" applyFill="1" applyProtection="1">
      <alignment vertical="top" wrapText="1"/>
      <protection locked="0"/>
    </xf>
    <xf numFmtId="1" fontId="10" fillId="2" borderId="0" xfId="0" applyNumberFormat="1" applyFont="1" applyFill="1" applyProtection="1">
      <alignment vertical="top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Protection="1">
      <alignment vertical="top" wrapText="1"/>
      <protection locked="0"/>
    </xf>
    <xf numFmtId="1" fontId="6" fillId="2" borderId="0" xfId="0" applyNumberFormat="1" applyFont="1" applyFill="1" applyAlignment="1" applyProtection="1">
      <alignment vertical="center"/>
      <protection locked="0"/>
    </xf>
    <xf numFmtId="1" fontId="15" fillId="2" borderId="1" xfId="0" applyNumberFormat="1" applyFont="1" applyFill="1" applyBorder="1" applyAlignment="1" applyProtection="1">
      <alignment vertical="top" wrapText="1"/>
      <protection locked="0"/>
    </xf>
    <xf numFmtId="1" fontId="15" fillId="2" borderId="1" xfId="0" applyNumberFormat="1" applyFont="1" applyFill="1" applyBorder="1" applyAlignment="1" applyProtection="1">
      <alignment vertical="center" wrapText="1"/>
      <protection locked="0"/>
    </xf>
    <xf numFmtId="0" fontId="15" fillId="2" borderId="1" xfId="0" applyFont="1" applyFill="1" applyBorder="1" applyProtection="1">
      <alignment vertical="top" wrapText="1"/>
      <protection locked="0"/>
    </xf>
    <xf numFmtId="1" fontId="15" fillId="2" borderId="1" xfId="18" applyNumberFormat="1" applyFont="1" applyFill="1" applyBorder="1" applyAlignment="1" applyProtection="1">
      <alignment vertical="top" wrapText="1"/>
      <protection locked="0"/>
    </xf>
    <xf numFmtId="1" fontId="15" fillId="2" borderId="1" xfId="18" applyNumberFormat="1" applyFont="1" applyFill="1" applyBorder="1" applyAlignment="1" applyProtection="1">
      <alignment vertical="center" wrapText="1"/>
      <protection locked="0"/>
    </xf>
    <xf numFmtId="0" fontId="15" fillId="3" borderId="1" xfId="0" applyFont="1" applyFill="1" applyBorder="1" applyProtection="1">
      <alignment vertical="top" wrapText="1"/>
      <protection locked="0"/>
    </xf>
    <xf numFmtId="2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>
      <alignment vertical="top" wrapText="1"/>
    </xf>
    <xf numFmtId="0" fontId="32" fillId="2" borderId="0" xfId="0" applyFont="1" applyFill="1">
      <alignment vertical="top" wrapText="1"/>
    </xf>
    <xf numFmtId="1" fontId="10" fillId="2" borderId="0" xfId="0" applyNumberFormat="1" applyFont="1" applyFill="1">
      <alignment vertical="top" wrapText="1"/>
    </xf>
    <xf numFmtId="1" fontId="32" fillId="2" borderId="0" xfId="0" applyNumberFormat="1" applyFont="1" applyFill="1">
      <alignment vertical="top" wrapText="1"/>
    </xf>
    <xf numFmtId="1" fontId="15" fillId="3" borderId="1" xfId="0" applyNumberFormat="1" applyFont="1" applyFill="1" applyBorder="1" applyAlignment="1" applyProtection="1">
      <alignment horizontal="right" vertical="center" wrapText="1"/>
      <protection locked="0"/>
    </xf>
    <xf numFmtId="1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5" fillId="2" borderId="0" xfId="0" applyNumberFormat="1" applyFont="1" applyFill="1">
      <alignment vertical="top" wrapText="1"/>
    </xf>
    <xf numFmtId="1" fontId="16" fillId="2" borderId="0" xfId="0" applyNumberFormat="1" applyFont="1" applyFill="1" applyAlignment="1" applyProtection="1">
      <alignment vertical="center"/>
      <protection locked="0"/>
    </xf>
    <xf numFmtId="1" fontId="15" fillId="2" borderId="1" xfId="0" applyNumberFormat="1" applyFont="1" applyFill="1" applyBorder="1" applyAlignment="1" applyProtection="1">
      <alignment horizontal="right" vertical="center"/>
      <protection locked="0"/>
    </xf>
    <xf numFmtId="1" fontId="15" fillId="2" borderId="1" xfId="0" applyNumberFormat="1" applyFont="1" applyFill="1" applyBorder="1" applyAlignment="1" applyProtection="1">
      <alignment vertical="center"/>
      <protection locked="0"/>
    </xf>
    <xf numFmtId="1" fontId="15" fillId="2" borderId="0" xfId="0" applyNumberFormat="1" applyFont="1" applyFill="1" applyAlignment="1" applyProtection="1">
      <alignment vertical="center"/>
      <protection locked="0"/>
    </xf>
    <xf numFmtId="2" fontId="15" fillId="2" borderId="0" xfId="0" applyNumberFormat="1" applyFont="1" applyFill="1" applyAlignment="1" applyProtection="1">
      <alignment vertical="center"/>
      <protection locked="0"/>
    </xf>
    <xf numFmtId="2" fontId="15" fillId="2" borderId="1" xfId="0" applyNumberFormat="1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wrapText="1"/>
    </xf>
    <xf numFmtId="0" fontId="15" fillId="2" borderId="16" xfId="56" applyFont="1" applyFill="1" applyBorder="1" applyAlignment="1" applyProtection="1">
      <alignment horizontal="center" vertical="top" wrapText="1"/>
      <protection locked="0"/>
    </xf>
    <xf numFmtId="0" fontId="17" fillId="2" borderId="16" xfId="56" applyFont="1" applyFill="1" applyBorder="1" applyAlignment="1"/>
    <xf numFmtId="1" fontId="17" fillId="2" borderId="16" xfId="56" applyNumberFormat="1" applyFont="1" applyFill="1" applyBorder="1" applyAlignment="1" applyProtection="1">
      <alignment horizontal="right" vertical="center"/>
      <protection locked="0"/>
    </xf>
    <xf numFmtId="2" fontId="17" fillId="2" borderId="16" xfId="56" applyNumberFormat="1" applyFont="1" applyFill="1" applyBorder="1" applyAlignment="1" applyProtection="1">
      <alignment horizontal="right" vertical="center" wrapText="1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right" vertical="center"/>
    </xf>
    <xf numFmtId="1" fontId="2" fillId="2" borderId="1" xfId="0" applyNumberFormat="1" applyFont="1" applyFill="1" applyBorder="1" applyAlignment="1">
      <alignment vertical="center"/>
    </xf>
    <xf numFmtId="9" fontId="15" fillId="2" borderId="0" xfId="0" applyNumberFormat="1" applyFont="1" applyFill="1" applyAlignment="1">
      <alignment vertical="center"/>
    </xf>
    <xf numFmtId="0" fontId="15" fillId="2" borderId="1" xfId="0" applyFont="1" applyFill="1" applyBorder="1" applyAlignment="1" applyProtection="1">
      <alignment horizontal="right" vertical="center"/>
      <protection locked="0"/>
    </xf>
    <xf numFmtId="1" fontId="29" fillId="2" borderId="1" xfId="0" applyNumberFormat="1" applyFont="1" applyFill="1" applyBorder="1" applyAlignment="1">
      <alignment horizontal="center" vertical="center"/>
    </xf>
    <xf numFmtId="1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Protection="1">
      <alignment vertical="top" wrapText="1"/>
      <protection locked="0"/>
    </xf>
    <xf numFmtId="1" fontId="15" fillId="2" borderId="0" xfId="0" applyNumberFormat="1" applyFont="1" applyFill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Protection="1">
      <alignment vertical="top" wrapText="1"/>
      <protection locked="0"/>
    </xf>
    <xf numFmtId="0" fontId="17" fillId="2" borderId="0" xfId="0" applyFont="1" applyFill="1" applyProtection="1">
      <alignment vertical="top" wrapText="1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2" fontId="15" fillId="0" borderId="1" xfId="0" applyNumberFormat="1" applyFont="1" applyFill="1" applyBorder="1" applyAlignment="1">
      <alignment vertical="center"/>
    </xf>
    <xf numFmtId="2" fontId="15" fillId="2" borderId="23" xfId="0" applyNumberFormat="1" applyFont="1" applyFill="1" applyBorder="1" applyAlignment="1">
      <alignment vertical="center" wrapText="1"/>
    </xf>
    <xf numFmtId="2" fontId="17" fillId="2" borderId="23" xfId="0" applyNumberFormat="1" applyFont="1" applyFill="1" applyBorder="1" applyAlignment="1">
      <alignment vertical="center" wrapText="1"/>
    </xf>
    <xf numFmtId="2" fontId="17" fillId="2" borderId="18" xfId="0" applyNumberFormat="1" applyFont="1" applyFill="1" applyBorder="1" applyAlignment="1">
      <alignment vertical="center" wrapText="1"/>
    </xf>
    <xf numFmtId="1" fontId="15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28" fillId="0" borderId="1" xfId="0" applyNumberFormat="1" applyFont="1" applyBorder="1" applyAlignment="1">
      <alignment vertical="center" wrapText="1"/>
    </xf>
    <xf numFmtId="1" fontId="17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15" fillId="2" borderId="1" xfId="0" applyNumberFormat="1" applyFont="1" applyFill="1" applyBorder="1" applyAlignment="1" applyProtection="1">
      <alignment vertical="center" wrapText="1"/>
    </xf>
    <xf numFmtId="1" fontId="15" fillId="2" borderId="0" xfId="0" applyNumberFormat="1" applyFont="1" applyFill="1" applyAlignment="1">
      <alignment vertical="center" wrapText="1"/>
    </xf>
    <xf numFmtId="2" fontId="15" fillId="2" borderId="0" xfId="0" applyNumberFormat="1" applyFont="1" applyFill="1" applyAlignment="1">
      <alignment vertical="center" wrapText="1"/>
    </xf>
    <xf numFmtId="1" fontId="17" fillId="2" borderId="0" xfId="0" applyNumberFormat="1" applyFont="1" applyFill="1" applyAlignment="1">
      <alignment vertical="center" wrapText="1"/>
    </xf>
    <xf numFmtId="1" fontId="3" fillId="2" borderId="0" xfId="0" applyNumberFormat="1" applyFont="1" applyFill="1" applyAlignment="1">
      <alignment vertical="center" wrapText="1"/>
    </xf>
    <xf numFmtId="2" fontId="17" fillId="2" borderId="0" xfId="0" applyNumberFormat="1" applyFont="1" applyFill="1" applyAlignment="1">
      <alignment vertical="center" wrapText="1"/>
    </xf>
    <xf numFmtId="1" fontId="3" fillId="2" borderId="0" xfId="0" applyNumberFormat="1" applyFont="1" applyFill="1">
      <alignment vertical="top" wrapText="1"/>
    </xf>
    <xf numFmtId="1" fontId="15" fillId="2" borderId="0" xfId="0" applyNumberFormat="1" applyFont="1" applyFill="1">
      <alignment vertical="top" wrapText="1"/>
    </xf>
    <xf numFmtId="1" fontId="31" fillId="2" borderId="0" xfId="0" applyNumberFormat="1" applyFont="1" applyFill="1">
      <alignment vertical="top" wrapText="1"/>
    </xf>
    <xf numFmtId="1" fontId="17" fillId="2" borderId="0" xfId="0" applyNumberFormat="1" applyFont="1" applyFill="1">
      <alignment vertical="top" wrapText="1"/>
    </xf>
    <xf numFmtId="1" fontId="28" fillId="2" borderId="1" xfId="0" applyNumberFormat="1" applyFont="1" applyFill="1" applyBorder="1" applyAlignment="1">
      <alignment vertical="center" wrapText="1"/>
    </xf>
    <xf numFmtId="1" fontId="15" fillId="2" borderId="1" xfId="0" applyNumberFormat="1" applyFont="1" applyFill="1" applyBorder="1" applyAlignment="1"/>
    <xf numFmtId="1" fontId="15" fillId="2" borderId="1" xfId="0" applyNumberFormat="1" applyFont="1" applyFill="1" applyBorder="1" applyAlignment="1">
      <alignment wrapText="1"/>
    </xf>
    <xf numFmtId="2" fontId="15" fillId="2" borderId="1" xfId="0" applyNumberFormat="1" applyFont="1" applyFill="1" applyBorder="1" applyProtection="1">
      <alignment vertical="top" wrapText="1"/>
      <protection locked="0"/>
    </xf>
    <xf numFmtId="2" fontId="17" fillId="2" borderId="1" xfId="0" applyNumberFormat="1" applyFont="1" applyFill="1" applyBorder="1" applyProtection="1">
      <alignment vertical="top" wrapText="1"/>
      <protection locked="0"/>
    </xf>
    <xf numFmtId="1" fontId="15" fillId="2" borderId="1" xfId="0" applyNumberFormat="1" applyFont="1" applyFill="1" applyBorder="1" applyAlignment="1" applyProtection="1">
      <alignment horizontal="center" vertical="top" wrapText="1"/>
      <protection locked="0"/>
    </xf>
    <xf numFmtId="1" fontId="6" fillId="2" borderId="0" xfId="0" applyNumberFormat="1" applyFont="1" applyFill="1" applyAlignment="1" applyProtection="1">
      <alignment vertical="top"/>
      <protection locked="0"/>
    </xf>
    <xf numFmtId="1" fontId="17" fillId="2" borderId="1" xfId="0" applyNumberFormat="1" applyFont="1" applyFill="1" applyBorder="1" applyAlignment="1" applyProtection="1">
      <alignment horizontal="center" vertical="top" wrapText="1"/>
      <protection locked="0"/>
    </xf>
    <xf numFmtId="2" fontId="15" fillId="2" borderId="1" xfId="0" applyNumberFormat="1" applyFont="1" applyFill="1" applyBorder="1">
      <alignment vertical="top" wrapText="1"/>
    </xf>
    <xf numFmtId="0" fontId="15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>
      <alignment vertical="top" wrapText="1"/>
    </xf>
    <xf numFmtId="2" fontId="17" fillId="2" borderId="1" xfId="0" applyNumberFormat="1" applyFont="1" applyFill="1" applyBorder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>
      <alignment vertical="top" wrapText="1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0" xfId="0" applyFont="1" applyFill="1">
      <alignment vertical="top" wrapText="1"/>
    </xf>
    <xf numFmtId="1" fontId="15" fillId="2" borderId="1" xfId="0" applyNumberFormat="1" applyFont="1" applyFill="1" applyBorder="1" applyAlignment="1">
      <alignment horizontal="center" vertical="top" wrapText="1"/>
    </xf>
    <xf numFmtId="1" fontId="17" fillId="2" borderId="1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Protection="1">
      <alignment vertical="top" wrapText="1"/>
      <protection locked="0"/>
    </xf>
    <xf numFmtId="1" fontId="15" fillId="3" borderId="1" xfId="23" applyNumberFormat="1" applyFont="1" applyFill="1" applyBorder="1" applyAlignment="1" applyProtection="1">
      <alignment vertical="top" wrapText="1"/>
      <protection locked="0"/>
    </xf>
    <xf numFmtId="0" fontId="17" fillId="2" borderId="1" xfId="56" applyFont="1" applyFill="1" applyBorder="1" applyAlignment="1" applyProtection="1">
      <alignment horizontal="center" vertical="top" wrapText="1"/>
      <protection locked="0"/>
    </xf>
    <xf numFmtId="1" fontId="15" fillId="3" borderId="1" xfId="0" applyNumberFormat="1" applyFont="1" applyFill="1" applyBorder="1" applyAlignment="1" applyProtection="1">
      <alignment horizontal="right" vertical="center" wrapText="1"/>
    </xf>
    <xf numFmtId="1" fontId="39" fillId="2" borderId="1" xfId="0" applyNumberFormat="1" applyFont="1" applyFill="1" applyBorder="1" applyAlignment="1">
      <alignment horizontal="center" vertical="center"/>
    </xf>
    <xf numFmtId="1" fontId="39" fillId="2" borderId="1" xfId="0" applyNumberFormat="1" applyFont="1" applyFill="1" applyBorder="1" applyAlignment="1">
      <alignment vertical="center"/>
    </xf>
    <xf numFmtId="1" fontId="39" fillId="2" borderId="1" xfId="0" applyNumberFormat="1" applyFont="1" applyFill="1" applyBorder="1" applyProtection="1">
      <alignment vertical="top" wrapText="1"/>
      <protection locked="0"/>
    </xf>
    <xf numFmtId="1" fontId="39" fillId="2" borderId="1" xfId="0" applyNumberFormat="1" applyFont="1" applyFill="1" applyBorder="1">
      <alignment vertical="top" wrapText="1"/>
    </xf>
    <xf numFmtId="1" fontId="39" fillId="2" borderId="1" xfId="0" applyNumberFormat="1" applyFont="1" applyFill="1" applyBorder="1" applyAlignment="1">
      <alignment vertical="center" wrapText="1"/>
    </xf>
    <xf numFmtId="1" fontId="39" fillId="2" borderId="1" xfId="0" applyNumberFormat="1" applyFont="1" applyFill="1" applyBorder="1" applyAlignment="1"/>
    <xf numFmtId="1" fontId="39" fillId="2" borderId="1" xfId="0" applyNumberFormat="1" applyFont="1" applyFill="1" applyBorder="1" applyAlignment="1">
      <alignment wrapText="1"/>
    </xf>
    <xf numFmtId="1" fontId="40" fillId="2" borderId="1" xfId="0" applyNumberFormat="1" applyFont="1" applyFill="1" applyBorder="1">
      <alignment vertical="top" wrapText="1"/>
    </xf>
    <xf numFmtId="0" fontId="39" fillId="2" borderId="1" xfId="0" applyFont="1" applyFill="1" applyBorder="1">
      <alignment vertical="top" wrapText="1"/>
    </xf>
    <xf numFmtId="1" fontId="40" fillId="2" borderId="1" xfId="0" applyNumberFormat="1" applyFont="1" applyFill="1" applyBorder="1" applyAlignment="1">
      <alignment horizontal="center" vertical="center"/>
    </xf>
    <xf numFmtId="1" fontId="40" fillId="2" borderId="1" xfId="0" applyNumberFormat="1" applyFont="1" applyFill="1" applyBorder="1" applyAlignment="1">
      <alignment vertical="center"/>
    </xf>
    <xf numFmtId="0" fontId="40" fillId="2" borderId="1" xfId="0" applyFont="1" applyFill="1" applyBorder="1">
      <alignment vertical="top" wrapText="1"/>
    </xf>
    <xf numFmtId="0" fontId="39" fillId="2" borderId="1" xfId="0" applyFont="1" applyFill="1" applyBorder="1" applyAlignment="1">
      <alignment horizontal="center" vertical="top" wrapText="1"/>
    </xf>
    <xf numFmtId="0" fontId="40" fillId="2" borderId="1" xfId="0" applyFont="1" applyFill="1" applyBorder="1" applyAlignment="1">
      <alignment horizontal="center" vertical="top" wrapText="1"/>
    </xf>
    <xf numFmtId="2" fontId="17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165" fontId="15" fillId="2" borderId="0" xfId="0" applyNumberFormat="1" applyFont="1" applyFill="1" applyAlignment="1">
      <alignment vertical="center"/>
    </xf>
    <xf numFmtId="1" fontId="15" fillId="2" borderId="1" xfId="0" applyNumberFormat="1" applyFont="1" applyFill="1" applyBorder="1" applyAlignment="1">
      <alignment horizontal="right" vertical="center"/>
    </xf>
    <xf numFmtId="1" fontId="15" fillId="3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1" fontId="29" fillId="2" borderId="1" xfId="0" applyNumberFormat="1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0" xfId="0" applyNumberFormat="1" applyFont="1" applyFill="1" applyBorder="1" applyAlignment="1" applyProtection="1">
      <alignment horizontal="center" vertical="top" wrapText="1"/>
      <protection locked="0"/>
    </xf>
    <xf numFmtId="0" fontId="37" fillId="2" borderId="0" xfId="0" applyFont="1" applyFill="1" applyBorder="1" applyAlignment="1"/>
    <xf numFmtId="2" fontId="37" fillId="2" borderId="0" xfId="0" applyNumberFormat="1" applyFont="1" applyFill="1" applyBorder="1" applyAlignment="1"/>
    <xf numFmtId="1" fontId="37" fillId="2" borderId="0" xfId="0" applyNumberFormat="1" applyFont="1" applyFill="1" applyBorder="1" applyAlignment="1"/>
    <xf numFmtId="0" fontId="11" fillId="2" borderId="0" xfId="0" applyFont="1" applyFill="1">
      <alignment vertical="top" wrapText="1"/>
    </xf>
    <xf numFmtId="2" fontId="11" fillId="2" borderId="0" xfId="0" applyNumberFormat="1" applyFont="1" applyFill="1">
      <alignment vertical="top" wrapText="1"/>
    </xf>
    <xf numFmtId="0" fontId="6" fillId="2" borderId="8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" fontId="2" fillId="2" borderId="35" xfId="0" applyNumberFormat="1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1" fontId="17" fillId="2" borderId="0" xfId="0" applyNumberFormat="1" applyFont="1" applyFill="1" applyBorder="1" applyAlignment="1">
      <alignment horizontal="center" vertical="center" wrapText="1"/>
    </xf>
    <xf numFmtId="1" fontId="15" fillId="2" borderId="11" xfId="0" applyNumberFormat="1" applyFont="1" applyFill="1" applyBorder="1" applyAlignment="1"/>
    <xf numFmtId="1" fontId="17" fillId="2" borderId="1" xfId="0" applyNumberFormat="1" applyFont="1" applyFill="1" applyBorder="1" applyAlignment="1" applyProtection="1">
      <alignment horizontal="right" vertical="center" wrapText="1"/>
    </xf>
    <xf numFmtId="165" fontId="7" fillId="2" borderId="0" xfId="0" applyNumberFormat="1" applyFont="1" applyFill="1" applyProtection="1">
      <alignment vertical="top" wrapText="1"/>
      <protection locked="0"/>
    </xf>
    <xf numFmtId="1" fontId="7" fillId="2" borderId="1" xfId="0" applyNumberFormat="1" applyFont="1" applyFill="1" applyBorder="1" applyProtection="1">
      <alignment vertical="top" wrapText="1"/>
      <protection locked="0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2" fontId="16" fillId="2" borderId="0" xfId="0" applyNumberFormat="1" applyFont="1" applyFill="1" applyProtection="1">
      <alignment vertical="top" wrapText="1"/>
      <protection locked="0"/>
    </xf>
    <xf numFmtId="0" fontId="33" fillId="2" borderId="1" xfId="0" applyFont="1" applyFill="1" applyBorder="1" applyAlignment="1">
      <alignment vertical="center"/>
    </xf>
    <xf numFmtId="0" fontId="7" fillId="2" borderId="0" xfId="59" applyFont="1" applyFill="1" applyAlignment="1">
      <alignment vertical="center" wrapText="1"/>
    </xf>
    <xf numFmtId="0" fontId="7" fillId="2" borderId="1" xfId="59" applyFont="1" applyFill="1" applyBorder="1" applyAlignment="1">
      <alignment horizontal="center" vertical="center" wrapText="1"/>
    </xf>
    <xf numFmtId="0" fontId="7" fillId="2" borderId="1" xfId="59" applyFont="1" applyFill="1" applyBorder="1" applyAlignment="1">
      <alignment vertical="center" wrapText="1"/>
    </xf>
    <xf numFmtId="0" fontId="6" fillId="2" borderId="1" xfId="59" applyFont="1" applyFill="1" applyBorder="1" applyAlignment="1">
      <alignment horizontal="center" vertical="center" wrapText="1"/>
    </xf>
    <xf numFmtId="2" fontId="7" fillId="2" borderId="0" xfId="59" applyNumberFormat="1" applyFont="1" applyFill="1" applyAlignment="1">
      <alignment vertical="center" wrapText="1"/>
    </xf>
    <xf numFmtId="0" fontId="7" fillId="2" borderId="12" xfId="59" applyFont="1" applyFill="1" applyBorder="1" applyAlignment="1">
      <alignment horizontal="center" vertical="center" wrapText="1"/>
    </xf>
    <xf numFmtId="0" fontId="43" fillId="0" borderId="0" xfId="0" applyFont="1">
      <alignment vertical="top" wrapText="1"/>
    </xf>
    <xf numFmtId="1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vertical="top"/>
    </xf>
    <xf numFmtId="0" fontId="15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>
      <alignment vertical="top"/>
    </xf>
    <xf numFmtId="0" fontId="7" fillId="2" borderId="0" xfId="59" applyFont="1" applyFill="1" applyAlignment="1">
      <alignment vertical="center"/>
    </xf>
    <xf numFmtId="0" fontId="0" fillId="2" borderId="0" xfId="0" applyFill="1" applyBorder="1" applyAlignment="1"/>
    <xf numFmtId="0" fontId="26" fillId="2" borderId="0" xfId="0" applyFont="1" applyFill="1" applyBorder="1" applyAlignment="1">
      <alignment horizontal="center"/>
    </xf>
    <xf numFmtId="0" fontId="50" fillId="2" borderId="0" xfId="0" applyFont="1" applyFill="1">
      <alignment vertical="top" wrapText="1"/>
    </xf>
    <xf numFmtId="1" fontId="50" fillId="2" borderId="0" xfId="0" applyNumberFormat="1" applyFont="1" applyFill="1">
      <alignment vertical="top" wrapText="1"/>
    </xf>
    <xf numFmtId="2" fontId="16" fillId="2" borderId="0" xfId="0" applyNumberFormat="1" applyFont="1" applyFill="1" applyAlignment="1" applyProtection="1">
      <alignment vertical="center"/>
      <protection locked="0"/>
    </xf>
    <xf numFmtId="2" fontId="15" fillId="2" borderId="0" xfId="0" applyNumberFormat="1" applyFont="1" applyFill="1" applyProtection="1">
      <alignment vertical="top" wrapText="1"/>
      <protection locked="0"/>
    </xf>
    <xf numFmtId="1" fontId="31" fillId="2" borderId="0" xfId="0" applyNumberFormat="1" applyFont="1" applyFill="1" applyAlignment="1">
      <alignment vertical="center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1" fontId="17" fillId="2" borderId="1" xfId="56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17" fillId="2" borderId="0" xfId="0" applyNumberFormat="1" applyFont="1" applyFill="1" applyAlignment="1" applyProtection="1">
      <alignment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17" fillId="2" borderId="0" xfId="0" applyFont="1" applyFill="1" applyAlignment="1" applyProtection="1">
      <alignment horizontal="right" vertical="center"/>
      <protection locked="0"/>
    </xf>
    <xf numFmtId="1" fontId="15" fillId="0" borderId="0" xfId="0" applyNumberFormat="1" applyFont="1" applyAlignment="1">
      <alignment vertical="center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0" xfId="0" applyNumberFormat="1" applyFont="1" applyFill="1" applyAlignment="1" applyProtection="1">
      <alignment vertical="center"/>
      <protection locked="0"/>
    </xf>
    <xf numFmtId="1" fontId="15" fillId="2" borderId="0" xfId="0" applyNumberFormat="1" applyFont="1" applyFill="1" applyAlignment="1">
      <alignment horizontal="center" vertical="center"/>
    </xf>
    <xf numFmtId="2" fontId="31" fillId="2" borderId="0" xfId="0" applyNumberFormat="1" applyFont="1" applyFill="1" applyAlignment="1">
      <alignment vertical="center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/>
    <xf numFmtId="2" fontId="7" fillId="0" borderId="1" xfId="0" applyNumberFormat="1" applyFont="1" applyBorder="1" applyAlignment="1"/>
    <xf numFmtId="0" fontId="17" fillId="6" borderId="1" xfId="0" applyFont="1" applyFill="1" applyBorder="1" applyAlignment="1">
      <alignment vertical="center"/>
    </xf>
    <xf numFmtId="1" fontId="6" fillId="6" borderId="1" xfId="0" applyNumberFormat="1" applyFont="1" applyFill="1" applyBorder="1" applyAlignment="1"/>
    <xf numFmtId="2" fontId="6" fillId="6" borderId="1" xfId="0" applyNumberFormat="1" applyFont="1" applyFill="1" applyBorder="1" applyAlignment="1"/>
    <xf numFmtId="2" fontId="6" fillId="6" borderId="1" xfId="0" applyNumberFormat="1" applyFont="1" applyFill="1" applyBorder="1" applyAlignment="1" applyProtection="1">
      <alignment horizontal="right" vertical="center" wrapText="1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2" fontId="29" fillId="7" borderId="1" xfId="0" applyNumberFormat="1" applyFont="1" applyFill="1" applyBorder="1" applyAlignment="1">
      <alignment vertical="center"/>
    </xf>
    <xf numFmtId="2" fontId="17" fillId="2" borderId="17" xfId="0" applyNumberFormat="1" applyFont="1" applyFill="1" applyBorder="1" applyAlignment="1">
      <alignment vertical="center"/>
    </xf>
    <xf numFmtId="2" fontId="17" fillId="2" borderId="0" xfId="0" applyNumberFormat="1" applyFont="1" applyFill="1" applyBorder="1" applyAlignment="1">
      <alignment vertical="center"/>
    </xf>
    <xf numFmtId="1" fontId="35" fillId="2" borderId="0" xfId="0" applyNumberFormat="1" applyFont="1" applyFill="1" applyAlignment="1">
      <alignment horizontal="right" vertical="top" wrapText="1"/>
    </xf>
    <xf numFmtId="0" fontId="3" fillId="2" borderId="39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7" fillId="2" borderId="36" xfId="0" applyNumberFormat="1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2" fontId="15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left" vertical="center"/>
    </xf>
    <xf numFmtId="0" fontId="5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52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right" vertical="center"/>
    </xf>
    <xf numFmtId="0" fontId="2" fillId="11" borderId="1" xfId="0" applyFont="1" applyFill="1" applyBorder="1" applyAlignment="1">
      <alignment horizontal="center" vertical="center"/>
    </xf>
    <xf numFmtId="2" fontId="33" fillId="2" borderId="0" xfId="0" applyNumberFormat="1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 wrapText="1"/>
    </xf>
    <xf numFmtId="2" fontId="34" fillId="2" borderId="0" xfId="0" applyNumberFormat="1" applyFont="1" applyFill="1" applyAlignment="1">
      <alignment horizontal="right" vertical="center" wrapText="1"/>
    </xf>
    <xf numFmtId="0" fontId="34" fillId="2" borderId="0" xfId="0" applyFont="1" applyFill="1" applyAlignment="1">
      <alignment horizontal="right" vertical="center" wrapText="1"/>
    </xf>
    <xf numFmtId="2" fontId="34" fillId="2" borderId="0" xfId="0" applyNumberFormat="1" applyFont="1" applyFill="1" applyAlignment="1">
      <alignment horizontal="center" vertical="center" wrapText="1"/>
    </xf>
    <xf numFmtId="1" fontId="33" fillId="2" borderId="0" xfId="0" applyNumberFormat="1" applyFont="1" applyFill="1" applyAlignment="1">
      <alignment vertical="center"/>
    </xf>
    <xf numFmtId="0" fontId="51" fillId="2" borderId="41" xfId="0" applyFont="1" applyFill="1" applyBorder="1" applyAlignment="1">
      <alignment horizontal="center" vertical="center" wrapText="1"/>
    </xf>
    <xf numFmtId="0" fontId="51" fillId="2" borderId="42" xfId="0" applyFont="1" applyFill="1" applyBorder="1" applyAlignment="1">
      <alignment horizontal="center" vertical="center" wrapText="1"/>
    </xf>
    <xf numFmtId="0" fontId="34" fillId="2" borderId="18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2" fontId="34" fillId="2" borderId="38" xfId="0" applyNumberFormat="1" applyFont="1" applyFill="1" applyBorder="1" applyAlignment="1">
      <alignment horizontal="center" vertical="center" wrapText="1"/>
    </xf>
    <xf numFmtId="2" fontId="34" fillId="2" borderId="46" xfId="0" applyNumberFormat="1" applyFont="1" applyFill="1" applyBorder="1" applyAlignment="1">
      <alignment horizontal="center" vertical="center" wrapText="1"/>
    </xf>
    <xf numFmtId="2" fontId="34" fillId="2" borderId="1" xfId="0" applyNumberFormat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vertical="center" wrapText="1"/>
    </xf>
    <xf numFmtId="0" fontId="33" fillId="2" borderId="38" xfId="0" applyFont="1" applyFill="1" applyBorder="1" applyAlignment="1">
      <alignment horizontal="left" vertical="center" wrapText="1"/>
    </xf>
    <xf numFmtId="2" fontId="33" fillId="2" borderId="38" xfId="0" applyNumberFormat="1" applyFont="1" applyFill="1" applyBorder="1" applyAlignment="1">
      <alignment horizontal="right" vertical="center" wrapText="1"/>
    </xf>
    <xf numFmtId="0" fontId="33" fillId="2" borderId="38" xfId="0" applyFont="1" applyFill="1" applyBorder="1" applyAlignment="1">
      <alignment horizontal="right" vertical="center" wrapText="1"/>
    </xf>
    <xf numFmtId="1" fontId="33" fillId="2" borderId="38" xfId="0" applyNumberFormat="1" applyFont="1" applyFill="1" applyBorder="1" applyAlignment="1">
      <alignment horizontal="right" vertical="center" wrapText="1"/>
    </xf>
    <xf numFmtId="2" fontId="33" fillId="2" borderId="46" xfId="0" applyNumberFormat="1" applyFont="1" applyFill="1" applyBorder="1" applyAlignment="1">
      <alignment horizontal="right" vertical="center" wrapText="1"/>
    </xf>
    <xf numFmtId="2" fontId="33" fillId="2" borderId="1" xfId="0" applyNumberFormat="1" applyFont="1" applyFill="1" applyBorder="1" applyAlignment="1">
      <alignment vertical="center"/>
    </xf>
    <xf numFmtId="0" fontId="34" fillId="9" borderId="38" xfId="0" applyFont="1" applyFill="1" applyBorder="1" applyAlignment="1">
      <alignment horizontal="right" vertical="center" wrapText="1"/>
    </xf>
    <xf numFmtId="2" fontId="34" fillId="9" borderId="38" xfId="0" applyNumberFormat="1" applyFont="1" applyFill="1" applyBorder="1" applyAlignment="1">
      <alignment horizontal="right" vertical="center" wrapText="1"/>
    </xf>
    <xf numFmtId="1" fontId="34" fillId="9" borderId="38" xfId="0" applyNumberFormat="1" applyFont="1" applyFill="1" applyBorder="1" applyAlignment="1">
      <alignment horizontal="right" vertical="center" wrapText="1"/>
    </xf>
    <xf numFmtId="2" fontId="34" fillId="9" borderId="46" xfId="0" applyNumberFormat="1" applyFont="1" applyFill="1" applyBorder="1" applyAlignment="1">
      <alignment horizontal="right" vertical="center" wrapText="1"/>
    </xf>
    <xf numFmtId="2" fontId="34" fillId="9" borderId="1" xfId="0" applyNumberFormat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2" fontId="33" fillId="2" borderId="48" xfId="0" applyNumberFormat="1" applyFont="1" applyFill="1" applyBorder="1" applyAlignment="1">
      <alignment horizontal="right" vertical="center" wrapText="1"/>
    </xf>
    <xf numFmtId="0" fontId="33" fillId="2" borderId="48" xfId="0" applyFont="1" applyFill="1" applyBorder="1" applyAlignment="1">
      <alignment horizontal="right" vertical="center" wrapText="1"/>
    </xf>
    <xf numFmtId="1" fontId="33" fillId="2" borderId="48" xfId="0" applyNumberFormat="1" applyFont="1" applyFill="1" applyBorder="1" applyAlignment="1">
      <alignment horizontal="right" vertical="center" wrapText="1"/>
    </xf>
    <xf numFmtId="2" fontId="33" fillId="2" borderId="40" xfId="0" applyNumberFormat="1" applyFont="1" applyFill="1" applyBorder="1" applyAlignment="1">
      <alignment horizontal="right" vertical="center" wrapText="1"/>
    </xf>
    <xf numFmtId="0" fontId="33" fillId="2" borderId="46" xfId="0" applyFont="1" applyFill="1" applyBorder="1" applyAlignment="1">
      <alignment horizontal="left" vertical="center" wrapText="1"/>
    </xf>
    <xf numFmtId="2" fontId="33" fillId="2" borderId="1" xfId="0" applyNumberFormat="1" applyFont="1" applyFill="1" applyBorder="1" applyAlignment="1">
      <alignment horizontal="right" vertical="center" wrapText="1"/>
    </xf>
    <xf numFmtId="0" fontId="33" fillId="2" borderId="1" xfId="0" applyFont="1" applyFill="1" applyBorder="1" applyAlignment="1">
      <alignment horizontal="right" vertical="center" wrapText="1"/>
    </xf>
    <xf numFmtId="1" fontId="33" fillId="2" borderId="1" xfId="0" applyNumberFormat="1" applyFont="1" applyFill="1" applyBorder="1" applyAlignment="1">
      <alignment horizontal="right" vertical="center" wrapText="1"/>
    </xf>
    <xf numFmtId="2" fontId="33" fillId="2" borderId="11" xfId="0" applyNumberFormat="1" applyFont="1" applyFill="1" applyBorder="1" applyAlignment="1">
      <alignment horizontal="right" vertical="center" wrapText="1"/>
    </xf>
    <xf numFmtId="0" fontId="34" fillId="9" borderId="46" xfId="0" applyFont="1" applyFill="1" applyBorder="1" applyAlignment="1">
      <alignment horizontal="right" vertical="center" wrapText="1"/>
    </xf>
    <xf numFmtId="2" fontId="34" fillId="9" borderId="1" xfId="0" applyNumberFormat="1" applyFont="1" applyFill="1" applyBorder="1" applyAlignment="1">
      <alignment horizontal="right" vertical="center" wrapText="1"/>
    </xf>
    <xf numFmtId="0" fontId="34" fillId="9" borderId="1" xfId="0" applyFont="1" applyFill="1" applyBorder="1" applyAlignment="1">
      <alignment horizontal="right" vertical="center" wrapText="1"/>
    </xf>
    <xf numFmtId="1" fontId="34" fillId="9" borderId="1" xfId="0" applyNumberFormat="1" applyFont="1" applyFill="1" applyBorder="1" applyAlignment="1">
      <alignment horizontal="right" vertical="center" wrapText="1"/>
    </xf>
    <xf numFmtId="2" fontId="34" fillId="9" borderId="11" xfId="0" applyNumberFormat="1" applyFont="1" applyFill="1" applyBorder="1" applyAlignment="1">
      <alignment horizontal="right" vertical="center" wrapText="1"/>
    </xf>
    <xf numFmtId="2" fontId="33" fillId="9" borderId="1" xfId="0" applyNumberFormat="1" applyFont="1" applyFill="1" applyBorder="1" applyAlignment="1">
      <alignment vertical="center"/>
    </xf>
    <xf numFmtId="0" fontId="34" fillId="2" borderId="46" xfId="0" applyFont="1" applyFill="1" applyBorder="1" applyAlignment="1">
      <alignment vertical="center" wrapText="1"/>
    </xf>
    <xf numFmtId="2" fontId="34" fillId="2" borderId="49" xfId="0" applyNumberFormat="1" applyFont="1" applyFill="1" applyBorder="1" applyAlignment="1">
      <alignment horizontal="right" vertical="center" wrapText="1"/>
    </xf>
    <xf numFmtId="0" fontId="34" fillId="2" borderId="49" xfId="0" applyFont="1" applyFill="1" applyBorder="1" applyAlignment="1">
      <alignment horizontal="right" vertical="center" wrapText="1"/>
    </xf>
    <xf numFmtId="0" fontId="33" fillId="2" borderId="49" xfId="0" applyFont="1" applyFill="1" applyBorder="1" applyAlignment="1">
      <alignment vertical="center" wrapText="1"/>
    </xf>
    <xf numFmtId="2" fontId="33" fillId="2" borderId="49" xfId="0" applyNumberFormat="1" applyFont="1" applyFill="1" applyBorder="1" applyAlignment="1">
      <alignment vertical="center" wrapText="1"/>
    </xf>
    <xf numFmtId="0" fontId="34" fillId="2" borderId="38" xfId="0" applyFont="1" applyFill="1" applyBorder="1" applyAlignment="1">
      <alignment horizontal="right" vertical="center" wrapText="1"/>
    </xf>
    <xf numFmtId="2" fontId="34" fillId="2" borderId="38" xfId="0" applyNumberFormat="1" applyFont="1" applyFill="1" applyBorder="1" applyAlignment="1">
      <alignment horizontal="right" vertical="center" wrapText="1"/>
    </xf>
    <xf numFmtId="1" fontId="34" fillId="2" borderId="38" xfId="0" applyNumberFormat="1" applyFont="1" applyFill="1" applyBorder="1" applyAlignment="1">
      <alignment horizontal="right" vertical="center" wrapText="1"/>
    </xf>
    <xf numFmtId="2" fontId="34" fillId="2" borderId="46" xfId="0" applyNumberFormat="1" applyFont="1" applyFill="1" applyBorder="1" applyAlignment="1">
      <alignment horizontal="right" vertical="center" wrapText="1"/>
    </xf>
    <xf numFmtId="0" fontId="34" fillId="9" borderId="48" xfId="0" applyFont="1" applyFill="1" applyBorder="1" applyAlignment="1">
      <alignment horizontal="right" vertical="center" wrapText="1"/>
    </xf>
    <xf numFmtId="2" fontId="34" fillId="9" borderId="48" xfId="0" applyNumberFormat="1" applyFont="1" applyFill="1" applyBorder="1" applyAlignment="1">
      <alignment horizontal="right" vertical="center" wrapText="1"/>
    </xf>
    <xf numFmtId="1" fontId="34" fillId="9" borderId="48" xfId="0" applyNumberFormat="1" applyFont="1" applyFill="1" applyBorder="1" applyAlignment="1">
      <alignment horizontal="right" vertical="center" wrapText="1"/>
    </xf>
    <xf numFmtId="2" fontId="34" fillId="9" borderId="40" xfId="0" applyNumberFormat="1" applyFont="1" applyFill="1" applyBorder="1" applyAlignment="1">
      <alignment horizontal="right" vertical="center" wrapText="1"/>
    </xf>
    <xf numFmtId="0" fontId="26" fillId="11" borderId="1" xfId="0" applyFont="1" applyFill="1" applyBorder="1" applyAlignment="1">
      <alignment vertical="center"/>
    </xf>
    <xf numFmtId="2" fontId="26" fillId="11" borderId="1" xfId="0" applyNumberFormat="1" applyFont="1" applyFill="1" applyBorder="1" applyAlignment="1">
      <alignment horizontal="right" vertical="center"/>
    </xf>
    <xf numFmtId="0" fontId="26" fillId="11" borderId="1" xfId="0" applyFont="1" applyFill="1" applyBorder="1" applyAlignment="1">
      <alignment horizontal="right" vertical="center"/>
    </xf>
    <xf numFmtId="2" fontId="26" fillId="11" borderId="1" xfId="0" applyNumberFormat="1" applyFont="1" applyFill="1" applyBorder="1" applyAlignment="1">
      <alignment vertical="center"/>
    </xf>
    <xf numFmtId="1" fontId="26" fillId="11" borderId="1" xfId="0" applyNumberFormat="1" applyFont="1" applyFill="1" applyBorder="1" applyAlignment="1">
      <alignment vertical="center"/>
    </xf>
    <xf numFmtId="2" fontId="26" fillId="11" borderId="11" xfId="0" applyNumberFormat="1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2" fontId="26" fillId="2" borderId="0" xfId="0" applyNumberFormat="1" applyFont="1" applyFill="1" applyBorder="1" applyAlignment="1">
      <alignment horizontal="right" vertical="center"/>
    </xf>
    <xf numFmtId="0" fontId="26" fillId="2" borderId="0" xfId="0" applyFont="1" applyFill="1" applyBorder="1" applyAlignment="1">
      <alignment horizontal="right" vertical="center"/>
    </xf>
    <xf numFmtId="2" fontId="26" fillId="2" borderId="0" xfId="0" applyNumberFormat="1" applyFont="1" applyFill="1" applyBorder="1" applyAlignment="1">
      <alignment vertical="center"/>
    </xf>
    <xf numFmtId="1" fontId="26" fillId="2" borderId="0" xfId="0" applyNumberFormat="1" applyFont="1" applyFill="1" applyBorder="1" applyAlignment="1">
      <alignment vertical="center"/>
    </xf>
    <xf numFmtId="2" fontId="33" fillId="2" borderId="0" xfId="0" applyNumberFormat="1" applyFont="1" applyFill="1" applyAlignment="1">
      <alignment horizontal="right" vertical="center"/>
    </xf>
    <xf numFmtId="0" fontId="33" fillId="2" borderId="0" xfId="0" applyFont="1" applyFill="1" applyAlignment="1">
      <alignment horizontal="right" vertical="center"/>
    </xf>
    <xf numFmtId="1" fontId="7" fillId="7" borderId="0" xfId="0" applyNumberFormat="1" applyFont="1" applyFill="1" applyProtection="1">
      <alignment vertical="top" wrapText="1"/>
      <protection locked="0"/>
    </xf>
    <xf numFmtId="0" fontId="7" fillId="7" borderId="0" xfId="0" applyFont="1" applyFill="1" applyProtection="1">
      <alignment vertical="top" wrapText="1"/>
      <protection locked="0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vertical="center"/>
    </xf>
    <xf numFmtId="0" fontId="33" fillId="2" borderId="20" xfId="0" applyFont="1" applyFill="1" applyBorder="1" applyAlignment="1">
      <alignment vertical="center"/>
    </xf>
    <xf numFmtId="0" fontId="33" fillId="2" borderId="12" xfId="0" applyFont="1" applyFill="1" applyBorder="1" applyAlignment="1">
      <alignment vertical="center"/>
    </xf>
    <xf numFmtId="0" fontId="33" fillId="2" borderId="21" xfId="0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vertical="center"/>
    </xf>
    <xf numFmtId="0" fontId="54" fillId="0" borderId="21" xfId="0" applyFont="1" applyBorder="1" applyAlignment="1">
      <alignment horizontal="center" vertical="center"/>
    </xf>
    <xf numFmtId="2" fontId="54" fillId="0" borderId="21" xfId="0" applyNumberFormat="1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2" fontId="54" fillId="0" borderId="1" xfId="0" applyNumberFormat="1" applyFont="1" applyBorder="1" applyAlignment="1">
      <alignment horizontal="center" vertical="center"/>
    </xf>
    <xf numFmtId="0" fontId="54" fillId="12" borderId="1" xfId="0" applyFont="1" applyFill="1" applyBorder="1" applyAlignment="1">
      <alignment horizontal="center" vertical="center"/>
    </xf>
    <xf numFmtId="2" fontId="54" fillId="12" borderId="1" xfId="0" applyNumberFormat="1" applyFont="1" applyFill="1" applyBorder="1" applyAlignment="1">
      <alignment horizontal="center" vertical="center"/>
    </xf>
    <xf numFmtId="0" fontId="55" fillId="0" borderId="17" xfId="0" applyFont="1" applyBorder="1" applyAlignment="1">
      <alignment horizontal="center" vertical="center"/>
    </xf>
    <xf numFmtId="0" fontId="55" fillId="0" borderId="21" xfId="0" applyFont="1" applyBorder="1" applyAlignment="1">
      <alignment vertical="center"/>
    </xf>
    <xf numFmtId="2" fontId="55" fillId="0" borderId="21" xfId="0" applyNumberFormat="1" applyFont="1" applyBorder="1" applyAlignment="1">
      <alignment vertical="center"/>
    </xf>
    <xf numFmtId="0" fontId="54" fillId="0" borderId="21" xfId="0" applyFont="1" applyBorder="1" applyAlignment="1">
      <alignment vertical="center"/>
    </xf>
    <xf numFmtId="2" fontId="54" fillId="0" borderId="21" xfId="0" applyNumberFormat="1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2" fontId="55" fillId="0" borderId="1" xfId="0" applyNumberFormat="1" applyFont="1" applyBorder="1" applyAlignment="1">
      <alignment vertical="center"/>
    </xf>
    <xf numFmtId="0" fontId="54" fillId="0" borderId="1" xfId="0" applyFont="1" applyBorder="1" applyAlignment="1">
      <alignment vertical="center"/>
    </xf>
    <xf numFmtId="2" fontId="54" fillId="0" borderId="1" xfId="0" applyNumberFormat="1" applyFont="1" applyBorder="1" applyAlignment="1">
      <alignment vertical="center"/>
    </xf>
    <xf numFmtId="0" fontId="55" fillId="0" borderId="1" xfId="0" applyFont="1" applyBorder="1" applyAlignment="1">
      <alignment horizontal="center" vertical="center"/>
    </xf>
    <xf numFmtId="1" fontId="34" fillId="2" borderId="0" xfId="0" applyNumberFormat="1" applyFont="1" applyFill="1" applyAlignment="1">
      <alignment vertical="center"/>
    </xf>
    <xf numFmtId="0" fontId="53" fillId="2" borderId="0" xfId="0" applyFont="1" applyFill="1" applyAlignment="1">
      <alignment horizontal="center" vertical="center" wrapText="1"/>
    </xf>
    <xf numFmtId="0" fontId="7" fillId="2" borderId="1" xfId="59" applyFont="1" applyFill="1" applyBorder="1" applyAlignment="1">
      <alignment horizontal="right" vertical="center" wrapText="1"/>
    </xf>
    <xf numFmtId="2" fontId="7" fillId="2" borderId="1" xfId="59" applyNumberFormat="1" applyFont="1" applyFill="1" applyBorder="1" applyAlignment="1">
      <alignment horizontal="right" vertical="center" wrapText="1"/>
    </xf>
    <xf numFmtId="1" fontId="7" fillId="2" borderId="1" xfId="59" applyNumberFormat="1" applyFont="1" applyFill="1" applyBorder="1" applyAlignment="1">
      <alignment horizontal="right" vertical="center" wrapText="1"/>
    </xf>
    <xf numFmtId="0" fontId="6" fillId="2" borderId="1" xfId="59" applyFont="1" applyFill="1" applyBorder="1" applyAlignment="1">
      <alignment horizontal="right" vertical="center" wrapText="1"/>
    </xf>
    <xf numFmtId="2" fontId="6" fillId="2" borderId="1" xfId="59" applyNumberFormat="1" applyFont="1" applyFill="1" applyBorder="1" applyAlignment="1">
      <alignment horizontal="right" vertical="center" wrapText="1"/>
    </xf>
    <xf numFmtId="0" fontId="45" fillId="2" borderId="0" xfId="0" applyFont="1" applyFill="1" applyBorder="1" applyAlignment="1">
      <alignment vertical="center"/>
    </xf>
    <xf numFmtId="0" fontId="42" fillId="2" borderId="0" xfId="0" applyFont="1" applyFill="1" applyBorder="1" applyAlignment="1">
      <alignment horizontal="center" vertical="center" readingOrder="1"/>
    </xf>
    <xf numFmtId="0" fontId="42" fillId="2" borderId="0" xfId="0" applyFont="1" applyFill="1" applyBorder="1" applyAlignment="1">
      <alignment vertical="center"/>
    </xf>
    <xf numFmtId="0" fontId="41" fillId="8" borderId="0" xfId="0" applyFont="1" applyFill="1" applyBorder="1" applyAlignment="1" applyProtection="1">
      <alignment horizontal="center" vertical="center" wrapText="1" readingOrder="1"/>
      <protection locked="0"/>
    </xf>
    <xf numFmtId="0" fontId="41" fillId="8" borderId="0" xfId="0" applyFont="1" applyFill="1" applyBorder="1" applyAlignment="1" applyProtection="1">
      <alignment horizontal="right" vertical="center" wrapText="1" readingOrder="1"/>
      <protection locked="0"/>
    </xf>
    <xf numFmtId="0" fontId="41" fillId="8" borderId="0" xfId="0" applyFont="1" applyFill="1" applyBorder="1" applyAlignment="1" applyProtection="1">
      <alignment horizontal="left" vertical="center" wrapText="1" readingOrder="1"/>
      <protection locked="0"/>
    </xf>
    <xf numFmtId="0" fontId="47" fillId="2" borderId="0" xfId="0" applyFont="1" applyFill="1" applyBorder="1" applyAlignment="1" applyProtection="1">
      <alignment horizontal="center" vertical="center" wrapText="1" readingOrder="1"/>
      <protection locked="0"/>
    </xf>
    <xf numFmtId="0" fontId="47" fillId="2" borderId="0" xfId="0" applyFont="1" applyFill="1" applyBorder="1" applyAlignment="1" applyProtection="1">
      <alignment vertical="center" wrapText="1" readingOrder="1"/>
      <protection locked="0"/>
    </xf>
    <xf numFmtId="0" fontId="48" fillId="2" borderId="0" xfId="0" applyFont="1" applyFill="1" applyBorder="1" applyAlignment="1" applyProtection="1">
      <alignment horizontal="center" vertical="center" wrapText="1" readingOrder="1"/>
      <protection locked="0"/>
    </xf>
    <xf numFmtId="0" fontId="49" fillId="2" borderId="0" xfId="0" applyFont="1" applyFill="1" applyBorder="1" applyAlignment="1" applyProtection="1">
      <alignment horizontal="left" vertical="center" wrapText="1" readingOrder="1"/>
      <protection locked="0"/>
    </xf>
    <xf numFmtId="0" fontId="48" fillId="2" borderId="0" xfId="0" applyFont="1" applyFill="1" applyBorder="1" applyAlignment="1" applyProtection="1">
      <alignment vertical="center" wrapText="1" readingOrder="1"/>
      <protection locked="0"/>
    </xf>
    <xf numFmtId="0" fontId="17" fillId="2" borderId="1" xfId="0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 applyProtection="1">
      <alignment horizontal="center" vertical="top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right" vertical="top" wrapText="1"/>
      <protection locked="0"/>
    </xf>
    <xf numFmtId="0" fontId="17" fillId="2" borderId="0" xfId="0" applyFont="1" applyFill="1" applyAlignment="1" applyProtection="1">
      <alignment horizontal="right" vertical="top" wrapText="1"/>
      <protection locked="0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1" fontId="7" fillId="2" borderId="0" xfId="0" applyNumberFormat="1" applyFont="1" applyFill="1" applyAlignment="1" applyProtection="1">
      <alignment vertical="center"/>
      <protection locked="0"/>
    </xf>
    <xf numFmtId="2" fontId="7" fillId="2" borderId="0" xfId="0" applyNumberFormat="1" applyFont="1" applyFill="1" applyAlignment="1" applyProtection="1">
      <alignment vertical="center"/>
      <protection locked="0"/>
    </xf>
    <xf numFmtId="0" fontId="15" fillId="7" borderId="1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vertical="center"/>
    </xf>
    <xf numFmtId="1" fontId="15" fillId="7" borderId="1" xfId="0" applyNumberFormat="1" applyFont="1" applyFill="1" applyBorder="1" applyAlignment="1">
      <alignment vertical="center"/>
    </xf>
    <xf numFmtId="2" fontId="15" fillId="7" borderId="1" xfId="0" applyNumberFormat="1" applyFont="1" applyFill="1" applyBorder="1" applyAlignment="1">
      <alignment vertical="center"/>
    </xf>
    <xf numFmtId="1" fontId="15" fillId="7" borderId="0" xfId="0" applyNumberFormat="1" applyFont="1" applyFill="1" applyAlignment="1">
      <alignment vertical="center"/>
    </xf>
    <xf numFmtId="0" fontId="15" fillId="7" borderId="0" xfId="0" applyFont="1" applyFill="1" applyAlignment="1">
      <alignment vertical="center"/>
    </xf>
    <xf numFmtId="2" fontId="15" fillId="7" borderId="0" xfId="0" applyNumberFormat="1" applyFont="1" applyFill="1" applyAlignment="1">
      <alignment vertical="center"/>
    </xf>
    <xf numFmtId="0" fontId="56" fillId="2" borderId="0" xfId="0" applyFont="1" applyFill="1" applyProtection="1">
      <alignment vertical="top" wrapText="1"/>
      <protection locked="0"/>
    </xf>
    <xf numFmtId="2" fontId="56" fillId="2" borderId="0" xfId="0" applyNumberFormat="1" applyFont="1" applyFill="1" applyProtection="1">
      <alignment vertical="top" wrapText="1"/>
      <protection locked="0"/>
    </xf>
    <xf numFmtId="0" fontId="58" fillId="2" borderId="0" xfId="0" applyFont="1" applyFill="1" applyAlignment="1"/>
    <xf numFmtId="0" fontId="59" fillId="2" borderId="53" xfId="0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horizontal="center" vertical="center" wrapText="1"/>
    </xf>
    <xf numFmtId="0" fontId="59" fillId="2" borderId="54" xfId="0" applyFont="1" applyFill="1" applyBorder="1" applyAlignment="1">
      <alignment horizontal="center" vertical="center" wrapText="1"/>
    </xf>
    <xf numFmtId="0" fontId="60" fillId="2" borderId="0" xfId="0" applyFont="1" applyFill="1" applyAlignment="1"/>
    <xf numFmtId="0" fontId="59" fillId="2" borderId="53" xfId="0" applyFont="1" applyFill="1" applyBorder="1" applyAlignment="1">
      <alignment horizontal="center" vertical="top" wrapText="1"/>
    </xf>
    <xf numFmtId="0" fontId="59" fillId="2" borderId="1" xfId="0" applyFont="1" applyFill="1" applyBorder="1" applyAlignment="1">
      <alignment horizontal="center" vertical="top" wrapText="1"/>
    </xf>
    <xf numFmtId="0" fontId="59" fillId="2" borderId="54" xfId="0" applyFont="1" applyFill="1" applyBorder="1" applyAlignment="1">
      <alignment horizontal="center" vertical="top" wrapText="1"/>
    </xf>
    <xf numFmtId="0" fontId="60" fillId="2" borderId="53" xfId="0" applyFont="1" applyFill="1" applyBorder="1" applyAlignment="1">
      <alignment horizontal="center"/>
    </xf>
    <xf numFmtId="0" fontId="62" fillId="2" borderId="1" xfId="0" applyFont="1" applyFill="1" applyBorder="1" applyAlignment="1"/>
    <xf numFmtId="0" fontId="60" fillId="2" borderId="1" xfId="0" applyFont="1" applyFill="1" applyBorder="1" applyAlignment="1"/>
    <xf numFmtId="9" fontId="60" fillId="2" borderId="54" xfId="58" applyFont="1" applyFill="1" applyBorder="1"/>
    <xf numFmtId="0" fontId="60" fillId="2" borderId="1" xfId="0" applyFont="1" applyFill="1" applyBorder="1" applyAlignment="1">
      <alignment horizontal="right"/>
    </xf>
    <xf numFmtId="0" fontId="61" fillId="2" borderId="56" xfId="0" applyFont="1" applyFill="1" applyBorder="1" applyAlignment="1"/>
    <xf numFmtId="9" fontId="61" fillId="2" borderId="57" xfId="58" applyFont="1" applyFill="1" applyBorder="1"/>
    <xf numFmtId="0" fontId="60" fillId="2" borderId="0" xfId="0" applyFont="1" applyFill="1" applyAlignment="1">
      <alignment horizontal="center"/>
    </xf>
    <xf numFmtId="1" fontId="59" fillId="2" borderId="1" xfId="0" applyNumberFormat="1" applyFont="1" applyFill="1" applyBorder="1" applyAlignment="1">
      <alignment horizontal="center" vertical="top" wrapText="1"/>
    </xf>
    <xf numFmtId="1" fontId="60" fillId="2" borderId="1" xfId="0" applyNumberFormat="1" applyFont="1" applyFill="1" applyBorder="1" applyAlignment="1"/>
    <xf numFmtId="1" fontId="61" fillId="2" borderId="56" xfId="0" applyNumberFormat="1" applyFont="1" applyFill="1" applyBorder="1" applyAlignment="1"/>
    <xf numFmtId="1" fontId="60" fillId="2" borderId="0" xfId="0" applyNumberFormat="1" applyFont="1" applyFill="1" applyAlignment="1"/>
    <xf numFmtId="1" fontId="60" fillId="2" borderId="1" xfId="0" applyNumberFormat="1" applyFont="1" applyFill="1" applyBorder="1" applyAlignment="1">
      <alignment horizontal="right"/>
    </xf>
    <xf numFmtId="0" fontId="11" fillId="7" borderId="0" xfId="0" applyFont="1" applyFill="1" applyAlignment="1" applyProtection="1">
      <alignment horizontal="center" vertical="top" wrapText="1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1" fontId="2" fillId="2" borderId="22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1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9" xfId="0" applyNumberFormat="1" applyFont="1" applyFill="1" applyBorder="1" applyAlignment="1" applyProtection="1">
      <alignment horizontal="center" vertical="top" wrapText="1"/>
      <protection locked="0"/>
    </xf>
    <xf numFmtId="1" fontId="16" fillId="2" borderId="0" xfId="0" applyNumberFormat="1" applyFont="1" applyFill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1" fillId="7" borderId="0" xfId="0" applyFont="1" applyFill="1" applyAlignment="1" applyProtection="1">
      <alignment horizontal="center" vertical="center" wrapText="1"/>
      <protection locked="0"/>
    </xf>
    <xf numFmtId="1" fontId="6" fillId="2" borderId="0" xfId="0" applyNumberFormat="1" applyFont="1" applyFill="1" applyAlignment="1" applyProtection="1">
      <alignment horizontal="center" vertical="top"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7" fillId="2" borderId="1" xfId="56" applyFont="1" applyFill="1" applyBorder="1" applyAlignment="1" applyProtection="1">
      <alignment horizontal="center" vertical="center" wrapText="1"/>
      <protection locked="0"/>
    </xf>
    <xf numFmtId="1" fontId="17" fillId="2" borderId="1" xfId="56" applyNumberFormat="1" applyFont="1" applyFill="1" applyBorder="1" applyAlignment="1" applyProtection="1">
      <alignment horizontal="center" vertical="center" wrapText="1"/>
      <protection locked="0"/>
    </xf>
    <xf numFmtId="0" fontId="3" fillId="7" borderId="0" xfId="0" applyFont="1" applyFill="1" applyAlignment="1" applyProtection="1">
      <alignment horizontal="center" vertical="center" wrapText="1"/>
      <protection locked="0"/>
    </xf>
    <xf numFmtId="16" fontId="17" fillId="2" borderId="12" xfId="0" applyNumberFormat="1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1" fontId="17" fillId="2" borderId="11" xfId="0" applyNumberFormat="1" applyFont="1" applyFill="1" applyBorder="1" applyAlignment="1">
      <alignment horizontal="center" vertical="center" wrapText="1"/>
    </xf>
    <xf numFmtId="1" fontId="17" fillId="2" borderId="19" xfId="0" applyNumberFormat="1" applyFont="1" applyFill="1" applyBorder="1" applyAlignment="1">
      <alignment horizontal="center" vertical="center" wrapText="1"/>
    </xf>
    <xf numFmtId="1" fontId="17" fillId="2" borderId="18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" fontId="10" fillId="7" borderId="0" xfId="0" applyNumberFormat="1" applyFont="1" applyFill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17" fillId="2" borderId="24" xfId="0" applyNumberFormat="1" applyFont="1" applyFill="1" applyBorder="1" applyAlignment="1">
      <alignment horizontal="center" vertical="center" wrapText="1"/>
    </xf>
    <xf numFmtId="1" fontId="17" fillId="2" borderId="22" xfId="0" applyNumberFormat="1" applyFont="1" applyFill="1" applyBorder="1" applyAlignment="1">
      <alignment horizontal="center" vertical="center" wrapText="1"/>
    </xf>
    <xf numFmtId="1" fontId="17" fillId="2" borderId="20" xfId="0" applyNumberFormat="1" applyFont="1" applyFill="1" applyBorder="1" applyAlignment="1">
      <alignment horizontal="center" vertical="center" wrapText="1"/>
    </xf>
    <xf numFmtId="1" fontId="17" fillId="2" borderId="12" xfId="0" applyNumberFormat="1" applyFont="1" applyFill="1" applyBorder="1" applyAlignment="1">
      <alignment horizontal="center" vertical="center" wrapText="1"/>
    </xf>
    <xf numFmtId="1" fontId="17" fillId="2" borderId="23" xfId="0" applyNumberFormat="1" applyFont="1" applyFill="1" applyBorder="1" applyAlignment="1">
      <alignment horizontal="center" vertical="center" wrapText="1"/>
    </xf>
    <xf numFmtId="1" fontId="17" fillId="2" borderId="21" xfId="0" applyNumberFormat="1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/>
    </xf>
    <xf numFmtId="0" fontId="36" fillId="7" borderId="0" xfId="0" applyFont="1" applyFill="1" applyAlignment="1">
      <alignment horizontal="center" vertical="center"/>
    </xf>
    <xf numFmtId="1" fontId="29" fillId="2" borderId="1" xfId="0" applyNumberFormat="1" applyFont="1" applyFill="1" applyBorder="1" applyAlignment="1">
      <alignment horizontal="center" vertical="center" wrapText="1"/>
    </xf>
    <xf numFmtId="2" fontId="29" fillId="2" borderId="16" xfId="0" applyNumberFormat="1" applyFont="1" applyFill="1" applyBorder="1" applyAlignment="1">
      <alignment horizontal="center" vertical="center" wrapText="1"/>
    </xf>
    <xf numFmtId="2" fontId="29" fillId="2" borderId="25" xfId="0" applyNumberFormat="1" applyFont="1" applyFill="1" applyBorder="1" applyAlignment="1">
      <alignment horizontal="center" vertical="center" wrapText="1"/>
    </xf>
    <xf numFmtId="2" fontId="29" fillId="2" borderId="17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1" fontId="29" fillId="2" borderId="1" xfId="0" applyNumberFormat="1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1" fontId="17" fillId="2" borderId="12" xfId="0" applyNumberFormat="1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1" fontId="17" fillId="2" borderId="16" xfId="0" applyNumberFormat="1" applyFont="1" applyFill="1" applyBorder="1" applyAlignment="1">
      <alignment horizontal="center" vertical="center"/>
    </xf>
    <xf numFmtId="1" fontId="17" fillId="2" borderId="17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0" xfId="0" applyNumberFormat="1" applyFont="1" applyFill="1" applyAlignment="1" applyProtection="1">
      <alignment horizontal="center" vertical="center" wrapText="1"/>
      <protection locked="0"/>
    </xf>
    <xf numFmtId="1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26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0" xfId="0" applyNumberFormat="1" applyFont="1" applyFill="1" applyAlignment="1" applyProtection="1">
      <alignment horizontal="center" vertical="center"/>
      <protection locked="0"/>
    </xf>
    <xf numFmtId="1" fontId="6" fillId="2" borderId="9" xfId="0" applyNumberFormat="1" applyFont="1" applyFill="1" applyBorder="1" applyAlignment="1" applyProtection="1">
      <alignment horizontal="center" vertical="top" wrapText="1"/>
      <protection locked="0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28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" xfId="0" applyNumberFormat="1" applyFont="1" applyFill="1" applyBorder="1" applyAlignment="1" applyProtection="1">
      <alignment vertical="center" wrapText="1"/>
      <protection locked="0"/>
    </xf>
    <xf numFmtId="1" fontId="17" fillId="2" borderId="16" xfId="0" applyNumberFormat="1" applyFont="1" applyFill="1" applyBorder="1" applyAlignment="1" applyProtection="1">
      <alignment vertical="center" wrapText="1"/>
      <protection locked="0"/>
    </xf>
    <xf numFmtId="1" fontId="17" fillId="2" borderId="14" xfId="0" applyNumberFormat="1" applyFont="1" applyFill="1" applyBorder="1" applyAlignment="1" applyProtection="1">
      <alignment vertical="center" wrapText="1"/>
      <protection locked="0"/>
    </xf>
    <xf numFmtId="1" fontId="17" fillId="2" borderId="29" xfId="0" applyNumberFormat="1" applyFont="1" applyFill="1" applyBorder="1" applyAlignment="1" applyProtection="1">
      <alignment vertical="center" wrapText="1"/>
      <protection locked="0"/>
    </xf>
    <xf numFmtId="2" fontId="17" fillId="2" borderId="1" xfId="0" applyNumberFormat="1" applyFont="1" applyFill="1" applyBorder="1" applyAlignment="1">
      <alignment vertical="center" wrapText="1"/>
    </xf>
    <xf numFmtId="1" fontId="17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9" xfId="0" applyNumberFormat="1" applyFont="1" applyFill="1" applyBorder="1" applyAlignment="1" applyProtection="1">
      <alignment horizontal="right" vertical="center" wrapText="1"/>
      <protection locked="0"/>
    </xf>
    <xf numFmtId="1" fontId="3" fillId="2" borderId="0" xfId="0" applyNumberFormat="1" applyFont="1" applyFill="1" applyAlignment="1" applyProtection="1">
      <alignment horizontal="center" vertical="center"/>
      <protection locked="0"/>
    </xf>
    <xf numFmtId="1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0" xfId="0" applyNumberFormat="1" applyFont="1" applyFill="1" applyAlignment="1" applyProtection="1">
      <alignment horizontal="center" vertical="center" wrapText="1"/>
      <protection locked="0"/>
    </xf>
    <xf numFmtId="2" fontId="6" fillId="2" borderId="0" xfId="0" applyNumberFormat="1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1" fontId="2" fillId="2" borderId="22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2" fontId="3" fillId="2" borderId="25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27" xfId="0" applyNumberFormat="1" applyFont="1" applyFill="1" applyBorder="1" applyAlignment="1" applyProtection="1">
      <alignment horizontal="center" vertical="center" wrapText="1"/>
      <protection locked="0"/>
    </xf>
    <xf numFmtId="2" fontId="11" fillId="7" borderId="0" xfId="0" applyNumberFormat="1" applyFont="1" applyFill="1" applyAlignment="1" applyProtection="1">
      <alignment horizontal="center" vertical="center" wrapText="1"/>
      <protection locked="0"/>
    </xf>
    <xf numFmtId="2" fontId="11" fillId="2" borderId="0" xfId="0" applyNumberFormat="1" applyFont="1" applyFill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1" fontId="17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32" xfId="0" applyNumberFormat="1" applyFont="1" applyFill="1" applyBorder="1" applyAlignment="1">
      <alignment horizontal="center" vertical="center" wrapText="1"/>
    </xf>
    <xf numFmtId="1" fontId="3" fillId="2" borderId="33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top"/>
    </xf>
    <xf numFmtId="0" fontId="11" fillId="2" borderId="0" xfId="0" applyFont="1" applyFill="1" applyAlignment="1">
      <alignment horizontal="center" vertical="top" wrapText="1"/>
    </xf>
    <xf numFmtId="0" fontId="2" fillId="2" borderId="3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1" fontId="3" fillId="2" borderId="30" xfId="0" applyNumberFormat="1" applyFont="1" applyFill="1" applyBorder="1" applyAlignment="1">
      <alignment horizontal="center" vertical="top" wrapText="1"/>
    </xf>
    <xf numFmtId="1" fontId="3" fillId="2" borderId="31" xfId="0" applyNumberFormat="1" applyFont="1" applyFill="1" applyBorder="1" applyAlignment="1">
      <alignment horizontal="center" vertical="center" wrapText="1"/>
    </xf>
    <xf numFmtId="1" fontId="4" fillId="2" borderId="32" xfId="0" applyNumberFormat="1" applyFont="1" applyFill="1" applyBorder="1" applyAlignment="1">
      <alignment horizontal="center" vertical="center" wrapText="1"/>
    </xf>
    <xf numFmtId="1" fontId="4" fillId="2" borderId="33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top"/>
      <protection locked="0"/>
    </xf>
    <xf numFmtId="1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27" xfId="0" applyFont="1" applyFill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center" vertical="center" wrapText="1"/>
      <protection locked="0"/>
    </xf>
    <xf numFmtId="0" fontId="17" fillId="2" borderId="28" xfId="0" applyFont="1" applyFill="1" applyBorder="1" applyAlignment="1" applyProtection="1">
      <alignment horizontal="center" vertical="center" wrapText="1"/>
      <protection locked="0"/>
    </xf>
    <xf numFmtId="1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1" xfId="0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 applyProtection="1">
      <alignment horizontal="center" vertical="top" wrapText="1"/>
      <protection locked="0"/>
    </xf>
    <xf numFmtId="1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8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6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9" xfId="0" applyNumberFormat="1" applyFont="1" applyFill="1" applyBorder="1" applyAlignment="1" applyProtection="1">
      <alignment horizontal="left" vertical="top" wrapText="1"/>
      <protection locked="0"/>
    </xf>
    <xf numFmtId="1" fontId="17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1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1" fillId="8" borderId="0" xfId="0" applyFont="1" applyFill="1" applyBorder="1" applyAlignment="1" applyProtection="1">
      <alignment horizontal="right" vertical="center" wrapText="1" readingOrder="1"/>
      <protection locked="0"/>
    </xf>
    <xf numFmtId="0" fontId="42" fillId="2" borderId="0" xfId="0" applyFont="1" applyFill="1" applyBorder="1" applyAlignment="1" applyProtection="1">
      <alignment vertical="center" wrapText="1"/>
      <protection locked="0"/>
    </xf>
    <xf numFmtId="0" fontId="44" fillId="2" borderId="0" xfId="0" applyFont="1" applyFill="1" applyBorder="1" applyAlignment="1" applyProtection="1">
      <alignment horizontal="center" vertical="center" wrapText="1" readingOrder="1"/>
      <protection locked="0"/>
    </xf>
    <xf numFmtId="0" fontId="45" fillId="2" borderId="0" xfId="0" applyFont="1" applyFill="1" applyBorder="1" applyAlignment="1">
      <alignment vertical="center"/>
    </xf>
    <xf numFmtId="0" fontId="46" fillId="2" borderId="0" xfId="0" applyFont="1" applyFill="1" applyBorder="1" applyAlignment="1" applyProtection="1">
      <alignment horizontal="center" vertical="center" wrapText="1" readingOrder="1"/>
      <protection locked="0"/>
    </xf>
    <xf numFmtId="0" fontId="42" fillId="2" borderId="0" xfId="0" applyFont="1" applyFill="1" applyBorder="1" applyAlignment="1">
      <alignment vertical="center"/>
    </xf>
    <xf numFmtId="0" fontId="41" fillId="8" borderId="0" xfId="0" applyFont="1" applyFill="1" applyBorder="1" applyAlignment="1" applyProtection="1">
      <alignment horizontal="center" vertical="center" wrapText="1" readingOrder="1"/>
      <protection locked="0"/>
    </xf>
    <xf numFmtId="0" fontId="43" fillId="0" borderId="0" xfId="0" applyFont="1" applyAlignment="1">
      <alignment horizontal="center" vertical="top" wrapText="1"/>
    </xf>
    <xf numFmtId="0" fontId="11" fillId="7" borderId="0" xfId="59" applyFont="1" applyFill="1" applyAlignment="1">
      <alignment horizontal="center" vertical="center" wrapText="1"/>
    </xf>
    <xf numFmtId="0" fontId="7" fillId="2" borderId="12" xfId="59" applyFont="1" applyFill="1" applyBorder="1" applyAlignment="1">
      <alignment horizontal="center" vertical="center" wrapText="1"/>
    </xf>
    <xf numFmtId="0" fontId="6" fillId="2" borderId="1" xfId="59" applyFont="1" applyFill="1" applyBorder="1" applyAlignment="1">
      <alignment horizontal="center" vertical="center" wrapText="1"/>
    </xf>
    <xf numFmtId="2" fontId="6" fillId="2" borderId="1" xfId="59" applyNumberFormat="1" applyFont="1" applyFill="1" applyBorder="1" applyAlignment="1">
      <alignment horizontal="center" vertical="center" wrapText="1"/>
    </xf>
    <xf numFmtId="0" fontId="53" fillId="2" borderId="47" xfId="0" applyFont="1" applyFill="1" applyBorder="1" applyAlignment="1">
      <alignment horizontal="center" vertical="center" wrapText="1"/>
    </xf>
    <xf numFmtId="0" fontId="53" fillId="2" borderId="0" xfId="0" applyFont="1" applyFill="1" applyBorder="1" applyAlignment="1">
      <alignment horizontal="center" vertical="center" wrapText="1"/>
    </xf>
    <xf numFmtId="0" fontId="53" fillId="2" borderId="37" xfId="0" applyFont="1" applyFill="1" applyBorder="1" applyAlignment="1">
      <alignment horizontal="center" vertical="center" wrapText="1"/>
    </xf>
    <xf numFmtId="0" fontId="34" fillId="2" borderId="40" xfId="0" applyFont="1" applyFill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2" fontId="34" fillId="2" borderId="1" xfId="0" applyNumberFormat="1" applyFont="1" applyFill="1" applyBorder="1" applyAlignment="1">
      <alignment horizontal="center" vertical="center" wrapText="1"/>
    </xf>
    <xf numFmtId="0" fontId="34" fillId="2" borderId="43" xfId="0" applyFont="1" applyFill="1" applyBorder="1" applyAlignment="1">
      <alignment horizontal="center" vertical="center" wrapText="1"/>
    </xf>
    <xf numFmtId="0" fontId="34" fillId="2" borderId="44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53" fillId="7" borderId="0" xfId="0" applyFont="1" applyFill="1" applyAlignment="1">
      <alignment horizontal="center" vertical="center" wrapText="1"/>
    </xf>
    <xf numFmtId="0" fontId="54" fillId="0" borderId="11" xfId="0" applyFont="1" applyBorder="1" applyAlignment="1">
      <alignment horizontal="center" vertical="center"/>
    </xf>
    <xf numFmtId="0" fontId="54" fillId="0" borderId="18" xfId="0" applyFont="1" applyBorder="1" applyAlignment="1">
      <alignment horizontal="center" vertical="center"/>
    </xf>
    <xf numFmtId="0" fontId="54" fillId="0" borderId="16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54" fillId="0" borderId="17" xfId="0" applyFont="1" applyBorder="1" applyAlignment="1">
      <alignment horizontal="center" vertical="center"/>
    </xf>
    <xf numFmtId="0" fontId="54" fillId="0" borderId="16" xfId="0" applyFont="1" applyBorder="1" applyAlignment="1">
      <alignment horizontal="left" vertical="center"/>
    </xf>
    <xf numFmtId="0" fontId="54" fillId="0" borderId="25" xfId="0" applyFont="1" applyBorder="1" applyAlignment="1">
      <alignment horizontal="left" vertical="center"/>
    </xf>
    <xf numFmtId="0" fontId="54" fillId="0" borderId="17" xfId="0" applyFont="1" applyBorder="1" applyAlignment="1">
      <alignment horizontal="left" vertical="center"/>
    </xf>
    <xf numFmtId="0" fontId="54" fillId="0" borderId="19" xfId="0" applyFont="1" applyBorder="1" applyAlignment="1">
      <alignment horizontal="center" vertical="center"/>
    </xf>
    <xf numFmtId="0" fontId="42" fillId="2" borderId="22" xfId="0" applyFont="1" applyFill="1" applyBorder="1" applyAlignment="1">
      <alignment horizontal="center"/>
    </xf>
    <xf numFmtId="0" fontId="53" fillId="7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54" fillId="0" borderId="1" xfId="0" applyFont="1" applyBorder="1" applyAlignment="1">
      <alignment horizontal="center" vertical="center"/>
    </xf>
    <xf numFmtId="0" fontId="54" fillId="12" borderId="24" xfId="0" applyFont="1" applyFill="1" applyBorder="1" applyAlignment="1">
      <alignment horizontal="center" vertical="center"/>
    </xf>
    <xf numFmtId="0" fontId="54" fillId="12" borderId="23" xfId="0" applyFont="1" applyFill="1" applyBorder="1" applyAlignment="1">
      <alignment horizontal="center" vertical="center"/>
    </xf>
    <xf numFmtId="0" fontId="54" fillId="12" borderId="20" xfId="0" applyFont="1" applyFill="1" applyBorder="1" applyAlignment="1">
      <alignment horizontal="center" vertical="center"/>
    </xf>
    <xf numFmtId="0" fontId="54" fillId="12" borderId="21" xfId="0" applyFont="1" applyFill="1" applyBorder="1" applyAlignment="1">
      <alignment horizontal="center" vertical="center"/>
    </xf>
    <xf numFmtId="0" fontId="61" fillId="2" borderId="55" xfId="0" applyFont="1" applyFill="1" applyBorder="1" applyAlignment="1">
      <alignment horizontal="center"/>
    </xf>
    <xf numFmtId="0" fontId="61" fillId="2" borderId="56" xfId="0" applyFont="1" applyFill="1" applyBorder="1" applyAlignment="1">
      <alignment horizontal="center"/>
    </xf>
    <xf numFmtId="1" fontId="57" fillId="2" borderId="50" xfId="0" applyNumberFormat="1" applyFont="1" applyFill="1" applyBorder="1" applyAlignment="1">
      <alignment horizontal="center" vertical="center" wrapText="1"/>
    </xf>
    <xf numFmtId="1" fontId="57" fillId="2" borderId="51" xfId="0" applyNumberFormat="1" applyFont="1" applyFill="1" applyBorder="1" applyAlignment="1">
      <alignment horizontal="center" vertical="center" wrapText="1"/>
    </xf>
    <xf numFmtId="1" fontId="57" fillId="2" borderId="52" xfId="0" applyNumberFormat="1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2" fontId="17" fillId="2" borderId="0" xfId="0" applyNumberFormat="1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</cellXfs>
  <cellStyles count="60">
    <cellStyle name="Comma 2" xfId="1"/>
    <cellStyle name="Comma 3" xfId="2"/>
    <cellStyle name="Excel Built-in Normal" xfId="3"/>
    <cellStyle name="Excel Built-in Normal 2" xfId="4"/>
    <cellStyle name="Followed Hyperlink" xfId="5" builtinId="9" customBuiltin="1"/>
    <cellStyle name="Heading 1" xfId="6" builtinId="16" customBuiltin="1"/>
    <cellStyle name="Heading 1 2" xfId="7"/>
    <cellStyle name="Heading 1 2 2" xfId="8"/>
    <cellStyle name="Heading 1 3" xfId="9"/>
    <cellStyle name="Heading 2" xfId="10" builtinId="17" customBuiltin="1"/>
    <cellStyle name="Heading 2 2" xfId="11"/>
    <cellStyle name="Heading 2 2 2" xfId="12"/>
    <cellStyle name="Heading 2 3" xfId="13"/>
    <cellStyle name="Hyperlink" xfId="14" builtinId="8" customBuiltin="1"/>
    <cellStyle name="Hyperlink 2" xfId="15"/>
    <cellStyle name="Normal" xfId="0" builtinId="0" customBuiltin="1"/>
    <cellStyle name="Normal 190" xfId="16"/>
    <cellStyle name="Normal 2" xfId="17"/>
    <cellStyle name="Normal 2 2" xfId="18"/>
    <cellStyle name="Normal 2 2 2" xfId="19"/>
    <cellStyle name="Normal 2 2 2 2" xfId="20"/>
    <cellStyle name="Normal 2 2 2 2 2" xfId="21"/>
    <cellStyle name="Normal 2 2 2 2 3" xfId="22"/>
    <cellStyle name="Normal 2 2 2 2 4" xfId="23"/>
    <cellStyle name="Normal 2 2 2 3" xfId="24"/>
    <cellStyle name="Normal 2 2 3" xfId="25"/>
    <cellStyle name="Normal 2 2 4" xfId="26"/>
    <cellStyle name="Normal 2 2 5" xfId="27"/>
    <cellStyle name="Normal 2 2 6" xfId="28"/>
    <cellStyle name="Normal 2 3" xfId="29"/>
    <cellStyle name="Normal 2 3 2" xfId="30"/>
    <cellStyle name="Normal 2 3 2 2" xfId="31"/>
    <cellStyle name="Normal 2 3 2 3" xfId="32"/>
    <cellStyle name="Normal 2 3 3" xfId="33"/>
    <cellStyle name="Normal 2 3 4" xfId="34"/>
    <cellStyle name="Normal 2 4" xfId="35"/>
    <cellStyle name="Normal 2 5" xfId="36"/>
    <cellStyle name="Normal 224" xfId="37"/>
    <cellStyle name="Normal 225" xfId="38"/>
    <cellStyle name="Normal 226" xfId="39"/>
    <cellStyle name="Normal 227" xfId="40"/>
    <cellStyle name="Normal 228" xfId="41"/>
    <cellStyle name="Normal 230" xfId="42"/>
    <cellStyle name="Normal 231" xfId="43"/>
    <cellStyle name="Normal 232" xfId="44"/>
    <cellStyle name="Normal 233" xfId="45"/>
    <cellStyle name="Normal 234" xfId="46"/>
    <cellStyle name="Normal 235" xfId="47"/>
    <cellStyle name="Normal 238" xfId="48"/>
    <cellStyle name="Normal 239" xfId="49"/>
    <cellStyle name="Normal 3" xfId="50"/>
    <cellStyle name="Normal 3 2" xfId="51"/>
    <cellStyle name="Normal 3 2 2" xfId="52"/>
    <cellStyle name="Normal 3 2 3" xfId="53"/>
    <cellStyle name="Normal 3 3" xfId="54"/>
    <cellStyle name="Normal 4" xfId="55"/>
    <cellStyle name="Normal 5" xfId="56"/>
    <cellStyle name="Normal 6" xfId="57"/>
    <cellStyle name="Normal_Bank wise progress" xfId="59"/>
    <cellStyle name="Percent" xfId="58" builtinId="5"/>
  </cellStyles>
  <dxfs count="2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</font>
      <border>
        <top style="double">
          <color theme="4"/>
        </top>
      </border>
    </dxf>
    <dxf>
      <font>
        <color theme="2" tint="-0.749961851863155"/>
      </font>
      <border>
        <left/>
        <right/>
        <vertical/>
        <horizontal/>
      </border>
    </dxf>
    <dxf>
      <font>
        <color theme="4" tint="-0.249977111117893"/>
      </font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TableStyle="Sales Invoice Table" defaultPivotStyle="PivotStyleLight16">
    <tableStyle name="Sales Invoice Table" pivot="0" count="7">
      <tableStyleElement type="wholeTable" dxfId="237"/>
      <tableStyleElement type="headerRow" dxfId="236"/>
      <tableStyleElement type="totalRow" dxfId="235"/>
      <tableStyleElement type="firstColumn" dxfId="234"/>
      <tableStyleElement type="lastColumn" dxfId="233"/>
      <tableStyleElement type="firstRowStripe" dxfId="232"/>
      <tableStyleElement type="firstColumnStripe" dxfId="23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495300</xdr:colOff>
      <xdr:row>64</xdr:row>
      <xdr:rowOff>66675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3238500" y="1236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CustomerList" displayName="CustomerList" ref="A3:G61" totalsRowShown="0" headerRowDxfId="226" dataDxfId="225" totalsRowDxfId="224">
  <autoFilter ref="A3:G61"/>
  <tableColumns count="7">
    <tableColumn id="1" name="SR" dataDxfId="223" totalsRowDxfId="222"/>
    <tableColumn id="2" name="BANKS" dataDxfId="221" totalsRowDxfId="220"/>
    <tableColumn id="3" name="RURAL" dataDxfId="219" totalsRowDxfId="218"/>
    <tableColumn id="4" name="SEMI URBAN" dataDxfId="217" totalsRowDxfId="216"/>
    <tableColumn id="5" name="URBAN" dataDxfId="215" totalsRowDxfId="214"/>
    <tableColumn id="6" name="TOTAL" dataDxfId="213" totalsRowDxfId="212"/>
    <tableColumn id="8" name="ATMS" dataDxfId="211" totalsRowDxfId="210"/>
  </tableColumns>
  <tableStyleInfo name="Sales Invoice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63"/>
    <pageSetUpPr autoPageBreaks="0"/>
  </sheetPr>
  <dimension ref="A1:M71"/>
  <sheetViews>
    <sheetView showGridLines="0" zoomScaleNormal="100" workbookViewId="0">
      <pane xSplit="1" ySplit="3" topLeftCell="B4" activePane="bottomRight" state="frozen"/>
      <selection pane="topRight" activeCell="D1" sqref="D1"/>
      <selection pane="bottomLeft" activeCell="A3" sqref="A3"/>
      <selection pane="bottomRight" activeCell="Q17" sqref="Q17"/>
    </sheetView>
  </sheetViews>
  <sheetFormatPr defaultRowHeight="18.75" customHeight="1"/>
  <cols>
    <col min="1" max="1" width="5.7109375" style="52" customWidth="1"/>
    <col min="2" max="2" width="25.85546875" style="52" customWidth="1"/>
    <col min="3" max="3" width="12.42578125" style="56" bestFit="1" customWidth="1"/>
    <col min="4" max="4" width="13.140625" style="56" customWidth="1"/>
    <col min="5" max="5" width="12.28515625" style="56" bestFit="1" customWidth="1"/>
    <col min="6" max="6" width="12.140625" style="56" bestFit="1" customWidth="1"/>
    <col min="7" max="7" width="11" style="56" bestFit="1" customWidth="1"/>
    <col min="8" max="8" width="0" style="52" hidden="1" customWidth="1"/>
    <col min="9" max="9" width="11.5703125" style="52" hidden="1" customWidth="1"/>
    <col min="10" max="13" width="0" style="52" hidden="1" customWidth="1"/>
    <col min="14" max="16384" width="9.140625" style="52"/>
  </cols>
  <sheetData>
    <row r="1" spans="1:13" ht="18.75" customHeight="1">
      <c r="A1" s="568" t="s">
        <v>747</v>
      </c>
      <c r="B1" s="568"/>
      <c r="C1" s="568"/>
      <c r="D1" s="568"/>
      <c r="E1" s="568"/>
      <c r="F1" s="568"/>
      <c r="G1" s="568"/>
    </row>
    <row r="2" spans="1:13" s="53" customFormat="1" ht="15" customHeight="1">
      <c r="A2" s="569" t="s">
        <v>98</v>
      </c>
      <c r="B2" s="569"/>
      <c r="C2" s="569"/>
      <c r="D2" s="569"/>
      <c r="E2" s="569"/>
      <c r="F2" s="569"/>
      <c r="G2" s="569"/>
    </row>
    <row r="3" spans="1:13" s="55" customFormat="1" ht="15" customHeight="1">
      <c r="A3" s="54" t="s">
        <v>230</v>
      </c>
      <c r="B3" s="54" t="s">
        <v>3</v>
      </c>
      <c r="C3" s="54" t="s">
        <v>4</v>
      </c>
      <c r="D3" s="54" t="s">
        <v>5</v>
      </c>
      <c r="E3" s="54" t="s">
        <v>6</v>
      </c>
      <c r="F3" s="54" t="s">
        <v>0</v>
      </c>
      <c r="G3" s="54" t="s">
        <v>7</v>
      </c>
      <c r="I3" s="355">
        <v>42720</v>
      </c>
      <c r="J3" s="356"/>
      <c r="K3" s="356"/>
      <c r="L3" s="357" t="s">
        <v>748</v>
      </c>
      <c r="M3" s="356"/>
    </row>
    <row r="4" spans="1:13" ht="15" customHeight="1">
      <c r="A4" s="57">
        <v>1</v>
      </c>
      <c r="B4" s="58" t="s">
        <v>55</v>
      </c>
      <c r="C4" s="58">
        <v>84</v>
      </c>
      <c r="D4" s="58">
        <v>47</v>
      </c>
      <c r="E4" s="58">
        <v>74</v>
      </c>
      <c r="F4" s="58">
        <f>CustomerList[[#This Row],[URBAN]]+CustomerList[[#This Row],[SEMI URBAN]]+CustomerList[[#This Row],[RURAL]]</f>
        <v>205</v>
      </c>
      <c r="G4" s="58">
        <v>90</v>
      </c>
      <c r="I4" s="52">
        <v>205</v>
      </c>
      <c r="J4" s="52">
        <f>CustomerList[[#This Row],[TOTAL]]-I4</f>
        <v>0</v>
      </c>
      <c r="L4" s="52">
        <v>90</v>
      </c>
      <c r="M4" s="52">
        <f>CustomerList[[#This Row],[ATMS]]-L4</f>
        <v>0</v>
      </c>
    </row>
    <row r="5" spans="1:13" ht="15" customHeight="1">
      <c r="A5" s="57">
        <v>2</v>
      </c>
      <c r="B5" s="58" t="s">
        <v>56</v>
      </c>
      <c r="C5" s="58">
        <v>2</v>
      </c>
      <c r="D5" s="58">
        <v>6</v>
      </c>
      <c r="E5" s="58">
        <v>37</v>
      </c>
      <c r="F5" s="58">
        <f>CustomerList[[#This Row],[URBAN]]+CustomerList[[#This Row],[SEMI URBAN]]+CustomerList[[#This Row],[RURAL]]</f>
        <v>45</v>
      </c>
      <c r="G5" s="58">
        <v>40</v>
      </c>
      <c r="I5" s="52">
        <v>45</v>
      </c>
      <c r="J5" s="52">
        <f>CustomerList[[#This Row],[TOTAL]]-I5</f>
        <v>0</v>
      </c>
      <c r="L5" s="52">
        <v>38</v>
      </c>
      <c r="M5" s="52">
        <f>CustomerList[[#This Row],[ATMS]]-L5</f>
        <v>2</v>
      </c>
    </row>
    <row r="6" spans="1:13" ht="15" customHeight="1">
      <c r="A6" s="57">
        <v>3</v>
      </c>
      <c r="B6" s="58" t="s">
        <v>57</v>
      </c>
      <c r="C6" s="58">
        <v>31</v>
      </c>
      <c r="D6" s="58">
        <v>83</v>
      </c>
      <c r="E6" s="58">
        <v>76</v>
      </c>
      <c r="F6" s="58">
        <f>CustomerList[[#This Row],[URBAN]]+CustomerList[[#This Row],[SEMI URBAN]]+CustomerList[[#This Row],[RURAL]]</f>
        <v>190</v>
      </c>
      <c r="G6" s="58">
        <v>350</v>
      </c>
      <c r="I6" s="52">
        <v>188</v>
      </c>
      <c r="J6" s="52">
        <f>CustomerList[[#This Row],[TOTAL]]-I6</f>
        <v>2</v>
      </c>
      <c r="L6" s="52">
        <v>348</v>
      </c>
      <c r="M6" s="52">
        <f>CustomerList[[#This Row],[ATMS]]-L6</f>
        <v>2</v>
      </c>
    </row>
    <row r="7" spans="1:13" ht="15" customHeight="1">
      <c r="A7" s="57">
        <v>4</v>
      </c>
      <c r="B7" s="58" t="s">
        <v>58</v>
      </c>
      <c r="C7" s="58">
        <v>188</v>
      </c>
      <c r="D7" s="58">
        <v>136</v>
      </c>
      <c r="E7" s="58">
        <v>116</v>
      </c>
      <c r="F7" s="58">
        <f>CustomerList[[#This Row],[URBAN]]+CustomerList[[#This Row],[SEMI URBAN]]+CustomerList[[#This Row],[RURAL]]</f>
        <v>440</v>
      </c>
      <c r="G7" s="58">
        <v>715</v>
      </c>
      <c r="I7" s="52">
        <v>439</v>
      </c>
      <c r="J7" s="52">
        <f>CustomerList[[#This Row],[TOTAL]]-I7</f>
        <v>1</v>
      </c>
      <c r="L7" s="52">
        <v>712</v>
      </c>
      <c r="M7" s="52">
        <f>CustomerList[[#This Row],[ATMS]]-L7</f>
        <v>3</v>
      </c>
    </row>
    <row r="8" spans="1:13" ht="15" customHeight="1">
      <c r="A8" s="57">
        <v>5</v>
      </c>
      <c r="B8" s="58" t="s">
        <v>59</v>
      </c>
      <c r="C8" s="58">
        <v>86</v>
      </c>
      <c r="D8" s="58">
        <v>22</v>
      </c>
      <c r="E8" s="58">
        <v>37</v>
      </c>
      <c r="F8" s="58">
        <f>CustomerList[[#This Row],[URBAN]]+CustomerList[[#This Row],[SEMI URBAN]]+CustomerList[[#This Row],[RURAL]]</f>
        <v>145</v>
      </c>
      <c r="G8" s="58">
        <v>150</v>
      </c>
      <c r="I8" s="52">
        <v>145</v>
      </c>
      <c r="J8" s="52">
        <f>CustomerList[[#This Row],[TOTAL]]-I8</f>
        <v>0</v>
      </c>
      <c r="L8" s="52">
        <v>150</v>
      </c>
      <c r="M8" s="52">
        <f>CustomerList[[#This Row],[ATMS]]-L8</f>
        <v>0</v>
      </c>
    </row>
    <row r="9" spans="1:13" ht="15" customHeight="1">
      <c r="A9" s="57">
        <v>6</v>
      </c>
      <c r="B9" s="58" t="s">
        <v>241</v>
      </c>
      <c r="C9" s="58">
        <v>0</v>
      </c>
      <c r="D9" s="58">
        <v>0</v>
      </c>
      <c r="E9" s="58">
        <v>4</v>
      </c>
      <c r="F9" s="58">
        <f>CustomerList[[#This Row],[URBAN]]+CustomerList[[#This Row],[SEMI URBAN]]+CustomerList[[#This Row],[RURAL]]</f>
        <v>4</v>
      </c>
      <c r="G9" s="58">
        <v>5</v>
      </c>
      <c r="I9" s="52">
        <v>4</v>
      </c>
      <c r="J9" s="52">
        <f>CustomerList[[#This Row],[TOTAL]]-I9</f>
        <v>0</v>
      </c>
      <c r="L9" s="52">
        <v>5</v>
      </c>
      <c r="M9" s="52">
        <f>CustomerList[[#This Row],[ATMS]]-L9</f>
        <v>0</v>
      </c>
    </row>
    <row r="10" spans="1:13" ht="15" customHeight="1">
      <c r="A10" s="57">
        <v>7</v>
      </c>
      <c r="B10" s="58" t="s">
        <v>60</v>
      </c>
      <c r="C10" s="58">
        <v>28</v>
      </c>
      <c r="D10" s="58">
        <v>96</v>
      </c>
      <c r="E10" s="58">
        <v>103</v>
      </c>
      <c r="F10" s="58">
        <f>CustomerList[[#This Row],[URBAN]]+CustomerList[[#This Row],[SEMI URBAN]]+CustomerList[[#This Row],[RURAL]]</f>
        <v>227</v>
      </c>
      <c r="G10" s="58">
        <v>270</v>
      </c>
      <c r="I10" s="52">
        <v>215</v>
      </c>
      <c r="J10" s="52">
        <f>CustomerList[[#This Row],[TOTAL]]-I10</f>
        <v>12</v>
      </c>
      <c r="L10" s="52">
        <v>271</v>
      </c>
      <c r="M10" s="52">
        <f>CustomerList[[#This Row],[ATMS]]-L10</f>
        <v>-1</v>
      </c>
    </row>
    <row r="11" spans="1:13" ht="15" customHeight="1">
      <c r="A11" s="57">
        <v>8</v>
      </c>
      <c r="B11" s="58" t="s">
        <v>61</v>
      </c>
      <c r="C11" s="58">
        <v>229</v>
      </c>
      <c r="D11" s="58">
        <v>135</v>
      </c>
      <c r="E11" s="58">
        <v>105</v>
      </c>
      <c r="F11" s="58">
        <f>CustomerList[[#This Row],[URBAN]]+CustomerList[[#This Row],[SEMI URBAN]]+CustomerList[[#This Row],[RURAL]]</f>
        <v>469</v>
      </c>
      <c r="G11" s="58">
        <v>585</v>
      </c>
      <c r="I11" s="52">
        <v>469</v>
      </c>
      <c r="J11" s="52">
        <f>CustomerList[[#This Row],[TOTAL]]-I11</f>
        <v>0</v>
      </c>
      <c r="L11" s="52">
        <v>585</v>
      </c>
      <c r="M11" s="52">
        <f>CustomerList[[#This Row],[ATMS]]-L11</f>
        <v>0</v>
      </c>
    </row>
    <row r="12" spans="1:13" ht="15" customHeight="1">
      <c r="A12" s="57">
        <v>9</v>
      </c>
      <c r="B12" s="58" t="s">
        <v>48</v>
      </c>
      <c r="C12" s="58">
        <v>9</v>
      </c>
      <c r="D12" s="58">
        <v>17</v>
      </c>
      <c r="E12" s="58">
        <v>38</v>
      </c>
      <c r="F12" s="58">
        <f>CustomerList[[#This Row],[URBAN]]+CustomerList[[#This Row],[SEMI URBAN]]+CustomerList[[#This Row],[RURAL]]</f>
        <v>64</v>
      </c>
      <c r="G12" s="58">
        <v>93</v>
      </c>
      <c r="I12" s="52">
        <v>64</v>
      </c>
      <c r="J12" s="52">
        <f>CustomerList[[#This Row],[TOTAL]]-I12</f>
        <v>0</v>
      </c>
      <c r="L12" s="52">
        <v>91</v>
      </c>
      <c r="M12" s="52">
        <f>CustomerList[[#This Row],[ATMS]]-L12</f>
        <v>2</v>
      </c>
    </row>
    <row r="13" spans="1:13" ht="15" customHeight="1">
      <c r="A13" s="57">
        <v>10</v>
      </c>
      <c r="B13" s="58" t="s">
        <v>49</v>
      </c>
      <c r="C13" s="58">
        <v>9</v>
      </c>
      <c r="D13" s="58">
        <v>20</v>
      </c>
      <c r="E13" s="58">
        <v>39</v>
      </c>
      <c r="F13" s="58">
        <f>CustomerList[[#This Row],[URBAN]]+CustomerList[[#This Row],[SEMI URBAN]]+CustomerList[[#This Row],[RURAL]]</f>
        <v>68</v>
      </c>
      <c r="G13" s="58">
        <v>59</v>
      </c>
      <c r="I13" s="52">
        <v>68</v>
      </c>
      <c r="J13" s="52">
        <f>CustomerList[[#This Row],[TOTAL]]-I13</f>
        <v>0</v>
      </c>
      <c r="L13" s="52">
        <v>58</v>
      </c>
      <c r="M13" s="52">
        <f>CustomerList[[#This Row],[ATMS]]-L13</f>
        <v>1</v>
      </c>
    </row>
    <row r="14" spans="1:13" ht="15" customHeight="1">
      <c r="A14" s="57">
        <v>11</v>
      </c>
      <c r="B14" s="58" t="s">
        <v>81</v>
      </c>
      <c r="C14" s="58">
        <v>22</v>
      </c>
      <c r="D14" s="58">
        <v>35</v>
      </c>
      <c r="E14" s="58">
        <v>48</v>
      </c>
      <c r="F14" s="58">
        <f>CustomerList[[#This Row],[URBAN]]+CustomerList[[#This Row],[SEMI URBAN]]+CustomerList[[#This Row],[RURAL]]</f>
        <v>105</v>
      </c>
      <c r="G14" s="58">
        <v>200</v>
      </c>
      <c r="I14" s="52">
        <v>101</v>
      </c>
      <c r="J14" s="52">
        <f>CustomerList[[#This Row],[TOTAL]]-I14</f>
        <v>4</v>
      </c>
      <c r="L14" s="52">
        <v>179</v>
      </c>
      <c r="M14" s="52">
        <f>CustomerList[[#This Row],[ATMS]]-L14</f>
        <v>21</v>
      </c>
    </row>
    <row r="15" spans="1:13" ht="15" customHeight="1">
      <c r="A15" s="57">
        <v>12</v>
      </c>
      <c r="B15" s="58" t="s">
        <v>62</v>
      </c>
      <c r="C15" s="58">
        <v>2</v>
      </c>
      <c r="D15" s="58">
        <v>5</v>
      </c>
      <c r="E15" s="58">
        <v>23</v>
      </c>
      <c r="F15" s="58">
        <f>CustomerList[[#This Row],[URBAN]]+CustomerList[[#This Row],[SEMI URBAN]]+CustomerList[[#This Row],[RURAL]]</f>
        <v>30</v>
      </c>
      <c r="G15" s="58">
        <v>31</v>
      </c>
      <c r="I15" s="52">
        <v>28</v>
      </c>
      <c r="J15" s="52">
        <f>CustomerList[[#This Row],[TOTAL]]-I15</f>
        <v>2</v>
      </c>
      <c r="L15" s="52">
        <v>29</v>
      </c>
      <c r="M15" s="52">
        <f>CustomerList[[#This Row],[ATMS]]-L15</f>
        <v>2</v>
      </c>
    </row>
    <row r="16" spans="1:13" ht="15" customHeight="1">
      <c r="A16" s="57">
        <v>13</v>
      </c>
      <c r="B16" s="58" t="s">
        <v>63</v>
      </c>
      <c r="C16" s="58">
        <v>11</v>
      </c>
      <c r="D16" s="58">
        <v>9</v>
      </c>
      <c r="E16" s="58">
        <v>40</v>
      </c>
      <c r="F16" s="58">
        <f>CustomerList[[#This Row],[URBAN]]+CustomerList[[#This Row],[SEMI URBAN]]+CustomerList[[#This Row],[RURAL]]</f>
        <v>60</v>
      </c>
      <c r="G16" s="58">
        <v>58</v>
      </c>
      <c r="I16" s="52">
        <v>61</v>
      </c>
      <c r="J16" s="52">
        <f>CustomerList[[#This Row],[TOTAL]]-I16</f>
        <v>-1</v>
      </c>
      <c r="L16" s="52">
        <v>61</v>
      </c>
      <c r="M16" s="52">
        <f>CustomerList[[#This Row],[ATMS]]-L16</f>
        <v>-3</v>
      </c>
    </row>
    <row r="17" spans="1:13" ht="15" customHeight="1">
      <c r="A17" s="57">
        <v>14</v>
      </c>
      <c r="B17" s="58" t="s">
        <v>206</v>
      </c>
      <c r="C17" s="58">
        <v>11</v>
      </c>
      <c r="D17" s="58">
        <v>12</v>
      </c>
      <c r="E17" s="58">
        <v>54</v>
      </c>
      <c r="F17" s="58">
        <f>CustomerList[[#This Row],[URBAN]]+CustomerList[[#This Row],[SEMI URBAN]]+CustomerList[[#This Row],[RURAL]]</f>
        <v>77</v>
      </c>
      <c r="G17" s="58">
        <v>83</v>
      </c>
      <c r="I17" s="52">
        <v>76</v>
      </c>
      <c r="J17" s="52">
        <f>CustomerList[[#This Row],[TOTAL]]-I17</f>
        <v>1</v>
      </c>
      <c r="L17" s="52">
        <v>83</v>
      </c>
      <c r="M17" s="52">
        <f>CustomerList[[#This Row],[ATMS]]-L17</f>
        <v>0</v>
      </c>
    </row>
    <row r="18" spans="1:13" ht="15" customHeight="1">
      <c r="A18" s="57">
        <v>15</v>
      </c>
      <c r="B18" s="58" t="s">
        <v>207</v>
      </c>
      <c r="C18" s="58">
        <v>10</v>
      </c>
      <c r="D18" s="58">
        <v>6</v>
      </c>
      <c r="E18" s="58">
        <v>24</v>
      </c>
      <c r="F18" s="58">
        <f>CustomerList[[#This Row],[URBAN]]+CustomerList[[#This Row],[SEMI URBAN]]+CustomerList[[#This Row],[RURAL]]</f>
        <v>40</v>
      </c>
      <c r="G18" s="58">
        <v>34</v>
      </c>
      <c r="I18" s="52">
        <v>40</v>
      </c>
      <c r="J18" s="52">
        <f>CustomerList[[#This Row],[TOTAL]]-I18</f>
        <v>0</v>
      </c>
      <c r="L18" s="52">
        <v>34</v>
      </c>
      <c r="M18" s="52">
        <f>CustomerList[[#This Row],[ATMS]]-L18</f>
        <v>0</v>
      </c>
    </row>
    <row r="19" spans="1:13" ht="15" customHeight="1">
      <c r="A19" s="57">
        <v>16</v>
      </c>
      <c r="B19" s="58" t="s">
        <v>64</v>
      </c>
      <c r="C19" s="58">
        <v>87</v>
      </c>
      <c r="D19" s="58">
        <v>90</v>
      </c>
      <c r="E19" s="58">
        <v>107</v>
      </c>
      <c r="F19" s="58">
        <f>CustomerList[[#This Row],[URBAN]]+CustomerList[[#This Row],[SEMI URBAN]]+CustomerList[[#This Row],[RURAL]]</f>
        <v>284</v>
      </c>
      <c r="G19" s="58">
        <v>556</v>
      </c>
      <c r="I19" s="52">
        <v>288</v>
      </c>
      <c r="J19" s="52">
        <f>CustomerList[[#This Row],[TOTAL]]-I19</f>
        <v>-4</v>
      </c>
      <c r="L19" s="52">
        <v>529</v>
      </c>
      <c r="M19" s="52">
        <f>CustomerList[[#This Row],[ATMS]]-L19</f>
        <v>27</v>
      </c>
    </row>
    <row r="20" spans="1:13" ht="15" customHeight="1">
      <c r="A20" s="57">
        <v>17</v>
      </c>
      <c r="B20" s="58" t="s">
        <v>69</v>
      </c>
      <c r="C20" s="58">
        <v>0</v>
      </c>
      <c r="D20" s="58">
        <v>1</v>
      </c>
      <c r="E20" s="58">
        <v>4</v>
      </c>
      <c r="F20" s="58">
        <f>CustomerList[[#This Row],[URBAN]]+CustomerList[[#This Row],[SEMI URBAN]]+CustomerList[[#This Row],[RURAL]]</f>
        <v>5</v>
      </c>
      <c r="G20" s="58">
        <v>2</v>
      </c>
      <c r="I20" s="52">
        <v>5</v>
      </c>
      <c r="J20" s="52">
        <f>CustomerList[[#This Row],[TOTAL]]-I20</f>
        <v>0</v>
      </c>
      <c r="L20" s="52">
        <v>2</v>
      </c>
      <c r="M20" s="52">
        <f>CustomerList[[#This Row],[ATMS]]-L20</f>
        <v>0</v>
      </c>
    </row>
    <row r="21" spans="1:13" ht="15" customHeight="1">
      <c r="A21" s="57">
        <v>18</v>
      </c>
      <c r="B21" s="58" t="s">
        <v>208</v>
      </c>
      <c r="C21" s="58">
        <v>0</v>
      </c>
      <c r="D21" s="58">
        <v>0</v>
      </c>
      <c r="E21" s="58">
        <v>3</v>
      </c>
      <c r="F21" s="58">
        <f>CustomerList[[#This Row],[URBAN]]+CustomerList[[#This Row],[SEMI URBAN]]+CustomerList[[#This Row],[RURAL]]</f>
        <v>3</v>
      </c>
      <c r="G21" s="58">
        <v>3</v>
      </c>
      <c r="I21" s="52">
        <v>3</v>
      </c>
      <c r="J21" s="52">
        <f>CustomerList[[#This Row],[TOTAL]]-I21</f>
        <v>0</v>
      </c>
      <c r="L21" s="52">
        <v>3</v>
      </c>
      <c r="M21" s="52">
        <f>CustomerList[[#This Row],[ATMS]]-L21</f>
        <v>0</v>
      </c>
    </row>
    <row r="22" spans="1:13" ht="15" customHeight="1">
      <c r="A22" s="57">
        <v>19</v>
      </c>
      <c r="B22" s="58" t="s">
        <v>209</v>
      </c>
      <c r="C22" s="58">
        <v>0</v>
      </c>
      <c r="D22" s="58">
        <v>0</v>
      </c>
      <c r="E22" s="58">
        <v>7</v>
      </c>
      <c r="F22" s="58">
        <f>CustomerList[[#This Row],[URBAN]]+CustomerList[[#This Row],[SEMI URBAN]]+CustomerList[[#This Row],[RURAL]]</f>
        <v>7</v>
      </c>
      <c r="G22" s="58">
        <v>7</v>
      </c>
      <c r="I22" s="52">
        <v>7</v>
      </c>
      <c r="J22" s="52">
        <f>CustomerList[[#This Row],[TOTAL]]-I22</f>
        <v>0</v>
      </c>
      <c r="L22" s="52">
        <v>7</v>
      </c>
      <c r="M22" s="52">
        <f>CustomerList[[#This Row],[ATMS]]-L22</f>
        <v>0</v>
      </c>
    </row>
    <row r="23" spans="1:13" ht="15" customHeight="1">
      <c r="A23" s="57">
        <v>20</v>
      </c>
      <c r="B23" s="58" t="s">
        <v>210</v>
      </c>
      <c r="C23" s="58">
        <v>0</v>
      </c>
      <c r="D23" s="58">
        <v>0</v>
      </c>
      <c r="E23" s="58">
        <v>3</v>
      </c>
      <c r="F23" s="58">
        <f>CustomerList[[#This Row],[URBAN]]+CustomerList[[#This Row],[SEMI URBAN]]+CustomerList[[#This Row],[RURAL]]</f>
        <v>3</v>
      </c>
      <c r="G23" s="58">
        <v>3</v>
      </c>
      <c r="I23" s="52">
        <v>3</v>
      </c>
      <c r="J23" s="52">
        <f>CustomerList[[#This Row],[TOTAL]]-I23</f>
        <v>0</v>
      </c>
      <c r="L23" s="52">
        <v>3</v>
      </c>
      <c r="M23" s="52">
        <f>CustomerList[[#This Row],[ATMS]]-L23</f>
        <v>0</v>
      </c>
    </row>
    <row r="24" spans="1:13" ht="15" customHeight="1">
      <c r="A24" s="57">
        <v>21</v>
      </c>
      <c r="B24" s="58" t="s">
        <v>211</v>
      </c>
      <c r="C24" s="58">
        <v>1</v>
      </c>
      <c r="D24" s="58">
        <v>0</v>
      </c>
      <c r="E24" s="58">
        <v>9</v>
      </c>
      <c r="F24" s="58">
        <f>CustomerList[[#This Row],[URBAN]]+CustomerList[[#This Row],[SEMI URBAN]]+CustomerList[[#This Row],[RURAL]]</f>
        <v>10</v>
      </c>
      <c r="G24" s="58">
        <v>9</v>
      </c>
      <c r="I24" s="52">
        <v>10</v>
      </c>
      <c r="J24" s="52">
        <f>CustomerList[[#This Row],[TOTAL]]-I24</f>
        <v>0</v>
      </c>
      <c r="L24" s="52">
        <v>9</v>
      </c>
      <c r="M24" s="52">
        <f>CustomerList[[#This Row],[ATMS]]-L24</f>
        <v>0</v>
      </c>
    </row>
    <row r="25" spans="1:13" ht="15" customHeight="1">
      <c r="A25" s="57">
        <v>22</v>
      </c>
      <c r="B25" s="58" t="s">
        <v>70</v>
      </c>
      <c r="C25" s="58">
        <v>338</v>
      </c>
      <c r="D25" s="58">
        <v>358</v>
      </c>
      <c r="E25" s="58">
        <v>450</v>
      </c>
      <c r="F25" s="58">
        <f>CustomerList[[#This Row],[URBAN]]+CustomerList[[#This Row],[SEMI URBAN]]+CustomerList[[#This Row],[RURAL]]</f>
        <v>1146</v>
      </c>
      <c r="G25" s="58">
        <v>3758</v>
      </c>
      <c r="I25" s="52">
        <v>1155</v>
      </c>
      <c r="J25" s="52">
        <f>CustomerList[[#This Row],[TOTAL]]-I25</f>
        <v>-9</v>
      </c>
      <c r="L25" s="52">
        <v>3502</v>
      </c>
      <c r="M25" s="52">
        <f>CustomerList[[#This Row],[ATMS]]-L25</f>
        <v>256</v>
      </c>
    </row>
    <row r="26" spans="1:13" ht="15" customHeight="1">
      <c r="A26" s="57">
        <v>23</v>
      </c>
      <c r="B26" s="58" t="s">
        <v>65</v>
      </c>
      <c r="C26" s="58">
        <v>18</v>
      </c>
      <c r="D26" s="58">
        <v>18</v>
      </c>
      <c r="E26" s="58">
        <v>73</v>
      </c>
      <c r="F26" s="58">
        <f>CustomerList[[#This Row],[URBAN]]+CustomerList[[#This Row],[SEMI URBAN]]+CustomerList[[#This Row],[RURAL]]</f>
        <v>109</v>
      </c>
      <c r="G26" s="58">
        <v>85</v>
      </c>
      <c r="I26" s="52">
        <v>101</v>
      </c>
      <c r="J26" s="52">
        <f>CustomerList[[#This Row],[TOTAL]]-I26</f>
        <v>8</v>
      </c>
      <c r="L26" s="52">
        <v>85</v>
      </c>
      <c r="M26" s="52">
        <f>CustomerList[[#This Row],[ATMS]]-L26</f>
        <v>0</v>
      </c>
    </row>
    <row r="27" spans="1:13" ht="15" customHeight="1">
      <c r="A27" s="57">
        <v>24</v>
      </c>
      <c r="B27" s="58" t="s">
        <v>212</v>
      </c>
      <c r="C27" s="58">
        <v>54</v>
      </c>
      <c r="D27" s="58">
        <v>44</v>
      </c>
      <c r="E27" s="58">
        <v>71</v>
      </c>
      <c r="F27" s="58">
        <f>CustomerList[[#This Row],[URBAN]]+CustomerList[[#This Row],[SEMI URBAN]]+CustomerList[[#This Row],[RURAL]]</f>
        <v>169</v>
      </c>
      <c r="G27" s="58">
        <v>170</v>
      </c>
      <c r="I27" s="52">
        <v>169</v>
      </c>
      <c r="J27" s="52">
        <f>CustomerList[[#This Row],[TOTAL]]-I27</f>
        <v>0</v>
      </c>
      <c r="L27" s="52">
        <v>170</v>
      </c>
      <c r="M27" s="52">
        <f>CustomerList[[#This Row],[ATMS]]-L27</f>
        <v>0</v>
      </c>
    </row>
    <row r="28" spans="1:13" ht="15" customHeight="1">
      <c r="A28" s="57">
        <v>25</v>
      </c>
      <c r="B28" s="58" t="s">
        <v>66</v>
      </c>
      <c r="C28" s="58">
        <v>95</v>
      </c>
      <c r="D28" s="58">
        <v>80</v>
      </c>
      <c r="E28" s="58">
        <v>105</v>
      </c>
      <c r="F28" s="58">
        <f>CustomerList[[#This Row],[URBAN]]+CustomerList[[#This Row],[SEMI URBAN]]+CustomerList[[#This Row],[RURAL]]</f>
        <v>280</v>
      </c>
      <c r="G28" s="58">
        <v>617</v>
      </c>
      <c r="I28" s="52">
        <v>278</v>
      </c>
      <c r="J28" s="52">
        <f>CustomerList[[#This Row],[TOTAL]]-I28</f>
        <v>2</v>
      </c>
      <c r="L28" s="52">
        <v>614</v>
      </c>
      <c r="M28" s="52">
        <f>CustomerList[[#This Row],[ATMS]]-L28</f>
        <v>3</v>
      </c>
    </row>
    <row r="29" spans="1:13" ht="15" customHeight="1">
      <c r="A29" s="57">
        <v>26</v>
      </c>
      <c r="B29" s="58" t="s">
        <v>67</v>
      </c>
      <c r="C29" s="58">
        <v>0</v>
      </c>
      <c r="D29" s="58">
        <v>0</v>
      </c>
      <c r="E29" s="58">
        <v>15</v>
      </c>
      <c r="F29" s="58">
        <f>CustomerList[[#This Row],[URBAN]]+CustomerList[[#This Row],[SEMI URBAN]]+CustomerList[[#This Row],[RURAL]]</f>
        <v>15</v>
      </c>
      <c r="G29" s="58">
        <v>24</v>
      </c>
      <c r="I29" s="52">
        <v>13</v>
      </c>
      <c r="J29" s="52">
        <f>CustomerList[[#This Row],[TOTAL]]-I29</f>
        <v>2</v>
      </c>
      <c r="L29" s="52">
        <v>24</v>
      </c>
      <c r="M29" s="52">
        <f>CustomerList[[#This Row],[ATMS]]-L29</f>
        <v>0</v>
      </c>
    </row>
    <row r="30" spans="1:13" ht="15" customHeight="1">
      <c r="A30" s="57">
        <v>27</v>
      </c>
      <c r="B30" s="58" t="s">
        <v>50</v>
      </c>
      <c r="C30" s="58">
        <v>9</v>
      </c>
      <c r="D30" s="58">
        <v>25</v>
      </c>
      <c r="E30" s="58">
        <v>37</v>
      </c>
      <c r="F30" s="58">
        <f>CustomerList[[#This Row],[URBAN]]+CustomerList[[#This Row],[SEMI URBAN]]+CustomerList[[#This Row],[RURAL]]</f>
        <v>71</v>
      </c>
      <c r="G30" s="58">
        <v>65</v>
      </c>
      <c r="I30" s="52">
        <v>71</v>
      </c>
      <c r="J30" s="52">
        <f>CustomerList[[#This Row],[TOTAL]]-I30</f>
        <v>0</v>
      </c>
      <c r="L30" s="52">
        <v>65</v>
      </c>
      <c r="M30" s="52">
        <f>CustomerList[[#This Row],[ATMS]]-L30</f>
        <v>0</v>
      </c>
    </row>
    <row r="31" spans="1:13" ht="15" customHeight="1">
      <c r="A31" s="350"/>
      <c r="B31" s="59" t="s">
        <v>286</v>
      </c>
      <c r="C31" s="59">
        <f>SUBTOTAL(109,C4:C30)</f>
        <v>1324</v>
      </c>
      <c r="D31" s="59">
        <f t="shared" ref="D31:G31" si="0">SUBTOTAL(109,D4:D30)</f>
        <v>1245</v>
      </c>
      <c r="E31" s="59">
        <f t="shared" si="0"/>
        <v>1702</v>
      </c>
      <c r="F31" s="59">
        <f t="shared" si="0"/>
        <v>4271</v>
      </c>
      <c r="G31" s="59">
        <f t="shared" si="0"/>
        <v>8062</v>
      </c>
      <c r="I31" s="52">
        <v>4251</v>
      </c>
      <c r="J31" s="52">
        <f>CustomerList[[#This Row],[TOTAL]]-I31</f>
        <v>20</v>
      </c>
      <c r="L31" s="52">
        <v>7747</v>
      </c>
      <c r="M31" s="52">
        <f>CustomerList[[#This Row],[ATMS]]-L31</f>
        <v>315</v>
      </c>
    </row>
    <row r="32" spans="1:13" ht="15" customHeight="1">
      <c r="A32" s="57">
        <v>28</v>
      </c>
      <c r="B32" s="58" t="s">
        <v>47</v>
      </c>
      <c r="C32" s="58">
        <v>24</v>
      </c>
      <c r="D32" s="58">
        <v>40</v>
      </c>
      <c r="E32" s="58">
        <v>67</v>
      </c>
      <c r="F32" s="58">
        <f>CustomerList[[#This Row],[URBAN]]+CustomerList[[#This Row],[SEMI URBAN]]+CustomerList[[#This Row],[RURAL]]</f>
        <v>131</v>
      </c>
      <c r="G32" s="58">
        <v>381</v>
      </c>
      <c r="I32" s="52">
        <v>125</v>
      </c>
      <c r="J32" s="52">
        <f>CustomerList[[#This Row],[TOTAL]]-I32</f>
        <v>6</v>
      </c>
      <c r="L32" s="52">
        <v>380</v>
      </c>
      <c r="M32" s="52">
        <f>CustomerList[[#This Row],[ATMS]]-L32</f>
        <v>1</v>
      </c>
    </row>
    <row r="33" spans="1:13" ht="15" customHeight="1">
      <c r="A33" s="57">
        <v>29</v>
      </c>
      <c r="B33" s="58" t="s">
        <v>214</v>
      </c>
      <c r="C33" s="58">
        <v>4</v>
      </c>
      <c r="D33" s="58">
        <v>6</v>
      </c>
      <c r="E33" s="58">
        <v>16</v>
      </c>
      <c r="F33" s="58">
        <f>CustomerList[[#This Row],[URBAN]]+CustomerList[[#This Row],[SEMI URBAN]]+CustomerList[[#This Row],[RURAL]]</f>
        <v>26</v>
      </c>
      <c r="G33" s="58">
        <v>18</v>
      </c>
      <c r="I33" s="52">
        <v>24</v>
      </c>
      <c r="J33" s="52">
        <f>CustomerList[[#This Row],[TOTAL]]-I33</f>
        <v>2</v>
      </c>
      <c r="L33" s="52">
        <v>13</v>
      </c>
      <c r="M33" s="52">
        <f>CustomerList[[#This Row],[ATMS]]-L33</f>
        <v>5</v>
      </c>
    </row>
    <row r="34" spans="1:13" ht="15" customHeight="1">
      <c r="A34" s="57">
        <v>30</v>
      </c>
      <c r="B34" s="58" t="s">
        <v>215</v>
      </c>
      <c r="C34" s="58">
        <v>0</v>
      </c>
      <c r="D34" s="58">
        <v>0</v>
      </c>
      <c r="E34" s="58">
        <v>1</v>
      </c>
      <c r="F34" s="58">
        <f>CustomerList[[#This Row],[URBAN]]+CustomerList[[#This Row],[SEMI URBAN]]+CustomerList[[#This Row],[RURAL]]</f>
        <v>1</v>
      </c>
      <c r="G34" s="58">
        <v>1</v>
      </c>
      <c r="I34" s="52">
        <v>1</v>
      </c>
      <c r="J34" s="52">
        <f>CustomerList[[#This Row],[TOTAL]]-I34</f>
        <v>0</v>
      </c>
      <c r="L34" s="52">
        <v>1</v>
      </c>
      <c r="M34" s="52">
        <f>CustomerList[[#This Row],[ATMS]]-L34</f>
        <v>0</v>
      </c>
    </row>
    <row r="35" spans="1:13" ht="15" customHeight="1">
      <c r="A35" s="57">
        <v>31</v>
      </c>
      <c r="B35" s="58" t="s">
        <v>78</v>
      </c>
      <c r="C35" s="58">
        <v>0</v>
      </c>
      <c r="D35" s="58">
        <v>0</v>
      </c>
      <c r="E35" s="58">
        <v>1</v>
      </c>
      <c r="F35" s="58">
        <f>CustomerList[[#This Row],[URBAN]]+CustomerList[[#This Row],[SEMI URBAN]]+CustomerList[[#This Row],[RURAL]]</f>
        <v>1</v>
      </c>
      <c r="G35" s="58">
        <v>1</v>
      </c>
      <c r="I35" s="52">
        <v>1</v>
      </c>
      <c r="J35" s="52">
        <f>CustomerList[[#This Row],[TOTAL]]-I35</f>
        <v>0</v>
      </c>
      <c r="L35" s="52">
        <v>2</v>
      </c>
      <c r="M35" s="52">
        <f>CustomerList[[#This Row],[ATMS]]-L35</f>
        <v>-1</v>
      </c>
    </row>
    <row r="36" spans="1:13" ht="15" customHeight="1">
      <c r="A36" s="57">
        <v>32</v>
      </c>
      <c r="B36" s="58" t="s">
        <v>51</v>
      </c>
      <c r="C36" s="58">
        <v>0</v>
      </c>
      <c r="D36" s="58">
        <v>0</v>
      </c>
      <c r="E36" s="58">
        <v>2</v>
      </c>
      <c r="F36" s="58">
        <f>CustomerList[[#This Row],[URBAN]]+CustomerList[[#This Row],[SEMI URBAN]]+CustomerList[[#This Row],[RURAL]]</f>
        <v>2</v>
      </c>
      <c r="G36" s="58">
        <v>4</v>
      </c>
      <c r="I36" s="52">
        <v>2</v>
      </c>
      <c r="J36" s="52">
        <f>CustomerList[[#This Row],[TOTAL]]-I36</f>
        <v>0</v>
      </c>
      <c r="L36" s="52">
        <v>4</v>
      </c>
      <c r="M36" s="52">
        <f>CustomerList[[#This Row],[ATMS]]-L36</f>
        <v>0</v>
      </c>
    </row>
    <row r="37" spans="1:13" ht="15" customHeight="1">
      <c r="A37" s="57">
        <v>33</v>
      </c>
      <c r="B37" s="58" t="s">
        <v>216</v>
      </c>
      <c r="C37" s="58">
        <v>11</v>
      </c>
      <c r="D37" s="58">
        <v>11</v>
      </c>
      <c r="E37" s="58">
        <v>4</v>
      </c>
      <c r="F37" s="58">
        <f>CustomerList[[#This Row],[URBAN]]+CustomerList[[#This Row],[SEMI URBAN]]+CustomerList[[#This Row],[RURAL]]</f>
        <v>26</v>
      </c>
      <c r="G37" s="58">
        <v>16</v>
      </c>
      <c r="I37" s="52">
        <v>17</v>
      </c>
      <c r="J37" s="52">
        <f>CustomerList[[#This Row],[TOTAL]]-I37</f>
        <v>9</v>
      </c>
      <c r="L37" s="52">
        <v>17</v>
      </c>
      <c r="M37" s="52">
        <f>CustomerList[[#This Row],[ATMS]]-L37</f>
        <v>-1</v>
      </c>
    </row>
    <row r="38" spans="1:13" ht="15" customHeight="1">
      <c r="A38" s="57">
        <v>34</v>
      </c>
      <c r="B38" s="58" t="s">
        <v>217</v>
      </c>
      <c r="C38" s="58">
        <v>0</v>
      </c>
      <c r="D38" s="58">
        <v>0</v>
      </c>
      <c r="E38" s="58">
        <v>1</v>
      </c>
      <c r="F38" s="58">
        <f>CustomerList[[#This Row],[URBAN]]+CustomerList[[#This Row],[SEMI URBAN]]+CustomerList[[#This Row],[RURAL]]</f>
        <v>1</v>
      </c>
      <c r="G38" s="58">
        <v>2</v>
      </c>
      <c r="I38" s="52">
        <v>1</v>
      </c>
      <c r="J38" s="52">
        <f>CustomerList[[#This Row],[TOTAL]]-I38</f>
        <v>0</v>
      </c>
      <c r="L38" s="52">
        <v>2</v>
      </c>
      <c r="M38" s="52">
        <f>CustomerList[[#This Row],[ATMS]]-L38</f>
        <v>0</v>
      </c>
    </row>
    <row r="39" spans="1:13" ht="15" customHeight="1">
      <c r="A39" s="57">
        <v>35</v>
      </c>
      <c r="B39" s="58" t="s">
        <v>218</v>
      </c>
      <c r="C39" s="58">
        <v>1</v>
      </c>
      <c r="D39" s="58">
        <v>2</v>
      </c>
      <c r="E39" s="58">
        <v>8</v>
      </c>
      <c r="F39" s="58">
        <f>CustomerList[[#This Row],[URBAN]]+CustomerList[[#This Row],[SEMI URBAN]]+CustomerList[[#This Row],[RURAL]]</f>
        <v>11</v>
      </c>
      <c r="G39" s="58">
        <v>11</v>
      </c>
      <c r="I39" s="52">
        <v>11</v>
      </c>
      <c r="J39" s="52">
        <f>CustomerList[[#This Row],[TOTAL]]-I39</f>
        <v>0</v>
      </c>
      <c r="L39" s="52">
        <v>11</v>
      </c>
      <c r="M39" s="52">
        <f>CustomerList[[#This Row],[ATMS]]-L39</f>
        <v>0</v>
      </c>
    </row>
    <row r="40" spans="1:13" ht="15" customHeight="1">
      <c r="A40" s="57">
        <v>36</v>
      </c>
      <c r="B40" s="58" t="s">
        <v>71</v>
      </c>
      <c r="C40" s="58">
        <v>11</v>
      </c>
      <c r="D40" s="58">
        <v>52</v>
      </c>
      <c r="E40" s="58">
        <v>72</v>
      </c>
      <c r="F40" s="58">
        <f>CustomerList[[#This Row],[URBAN]]+CustomerList[[#This Row],[SEMI URBAN]]+CustomerList[[#This Row],[RURAL]]</f>
        <v>135</v>
      </c>
      <c r="G40" s="58">
        <v>244</v>
      </c>
      <c r="I40" s="52">
        <v>130</v>
      </c>
      <c r="J40" s="52">
        <f>CustomerList[[#This Row],[TOTAL]]-I40</f>
        <v>5</v>
      </c>
      <c r="L40" s="52">
        <v>248</v>
      </c>
      <c r="M40" s="52">
        <f>CustomerList[[#This Row],[ATMS]]-L40</f>
        <v>-4</v>
      </c>
    </row>
    <row r="41" spans="1:13" ht="15" customHeight="1">
      <c r="A41" s="57">
        <v>37</v>
      </c>
      <c r="B41" s="58" t="s">
        <v>72</v>
      </c>
      <c r="C41" s="58">
        <v>64</v>
      </c>
      <c r="D41" s="58">
        <v>83</v>
      </c>
      <c r="E41" s="58">
        <v>91</v>
      </c>
      <c r="F41" s="58">
        <f>CustomerList[[#This Row],[URBAN]]+CustomerList[[#This Row],[SEMI URBAN]]+CustomerList[[#This Row],[RURAL]]</f>
        <v>238</v>
      </c>
      <c r="G41" s="58">
        <v>382</v>
      </c>
      <c r="I41" s="52">
        <v>210</v>
      </c>
      <c r="J41" s="52">
        <f>CustomerList[[#This Row],[TOTAL]]-I41</f>
        <v>28</v>
      </c>
      <c r="L41" s="52">
        <v>382</v>
      </c>
      <c r="M41" s="52">
        <f>CustomerList[[#This Row],[ATMS]]-L41</f>
        <v>0</v>
      </c>
    </row>
    <row r="42" spans="1:13" ht="15" customHeight="1">
      <c r="A42" s="57">
        <v>38</v>
      </c>
      <c r="B42" s="58" t="s">
        <v>219</v>
      </c>
      <c r="C42" s="58">
        <v>16</v>
      </c>
      <c r="D42" s="58">
        <v>15</v>
      </c>
      <c r="E42" s="58">
        <v>4</v>
      </c>
      <c r="F42" s="58">
        <f>CustomerList[[#This Row],[URBAN]]+CustomerList[[#This Row],[SEMI URBAN]]+CustomerList[[#This Row],[RURAL]]</f>
        <v>35</v>
      </c>
      <c r="G42" s="58">
        <v>2</v>
      </c>
      <c r="I42" s="52">
        <v>35</v>
      </c>
      <c r="J42" s="52">
        <f>CustomerList[[#This Row],[TOTAL]]-I42</f>
        <v>0</v>
      </c>
      <c r="L42" s="52">
        <v>2</v>
      </c>
      <c r="M42" s="52">
        <f>CustomerList[[#This Row],[ATMS]]-L42</f>
        <v>0</v>
      </c>
    </row>
    <row r="43" spans="1:13" ht="15" customHeight="1">
      <c r="A43" s="57">
        <v>39</v>
      </c>
      <c r="B43" s="58" t="s">
        <v>220</v>
      </c>
      <c r="C43" s="58">
        <v>1</v>
      </c>
      <c r="D43" s="58">
        <v>18</v>
      </c>
      <c r="E43" s="58">
        <v>35</v>
      </c>
      <c r="F43" s="58">
        <f>CustomerList[[#This Row],[URBAN]]+CustomerList[[#This Row],[SEMI URBAN]]+CustomerList[[#This Row],[RURAL]]</f>
        <v>54</v>
      </c>
      <c r="G43" s="58">
        <v>54</v>
      </c>
      <c r="I43" s="52">
        <v>63</v>
      </c>
      <c r="J43" s="52">
        <f>CustomerList[[#This Row],[TOTAL]]-I43</f>
        <v>-9</v>
      </c>
      <c r="L43" s="52">
        <v>53</v>
      </c>
      <c r="M43" s="52">
        <f>CustomerList[[#This Row],[ATMS]]-L43</f>
        <v>1</v>
      </c>
    </row>
    <row r="44" spans="1:13" ht="15" customHeight="1">
      <c r="A44" s="57">
        <v>40</v>
      </c>
      <c r="B44" s="58" t="s">
        <v>221</v>
      </c>
      <c r="C44" s="58">
        <v>0</v>
      </c>
      <c r="D44" s="58">
        <v>0</v>
      </c>
      <c r="E44" s="58">
        <v>2</v>
      </c>
      <c r="F44" s="58">
        <f>CustomerList[[#This Row],[URBAN]]+CustomerList[[#This Row],[SEMI URBAN]]+CustomerList[[#This Row],[RURAL]]</f>
        <v>2</v>
      </c>
      <c r="G44" s="58">
        <v>1</v>
      </c>
      <c r="I44" s="52">
        <v>2</v>
      </c>
      <c r="J44" s="52">
        <f>CustomerList[[#This Row],[TOTAL]]-I44</f>
        <v>0</v>
      </c>
      <c r="L44" s="52">
        <v>1</v>
      </c>
      <c r="M44" s="52">
        <f>CustomerList[[#This Row],[ATMS]]-L44</f>
        <v>0</v>
      </c>
    </row>
    <row r="45" spans="1:13" ht="15" customHeight="1">
      <c r="A45" s="57">
        <v>41</v>
      </c>
      <c r="B45" s="58" t="s">
        <v>222</v>
      </c>
      <c r="C45" s="58">
        <v>0</v>
      </c>
      <c r="D45" s="58">
        <v>0</v>
      </c>
      <c r="E45" s="58">
        <v>7</v>
      </c>
      <c r="F45" s="58">
        <f>CustomerList[[#This Row],[URBAN]]+CustomerList[[#This Row],[SEMI URBAN]]+CustomerList[[#This Row],[RURAL]]</f>
        <v>7</v>
      </c>
      <c r="G45" s="58">
        <v>9</v>
      </c>
      <c r="I45" s="52">
        <v>7</v>
      </c>
      <c r="J45" s="52">
        <f>CustomerList[[#This Row],[TOTAL]]-I45</f>
        <v>0</v>
      </c>
      <c r="L45" s="52">
        <v>9</v>
      </c>
      <c r="M45" s="52">
        <f>CustomerList[[#This Row],[ATMS]]-L45</f>
        <v>0</v>
      </c>
    </row>
    <row r="46" spans="1:13" ht="15" customHeight="1">
      <c r="A46" s="57">
        <v>42</v>
      </c>
      <c r="B46" s="58" t="s">
        <v>223</v>
      </c>
      <c r="C46" s="58">
        <v>0</v>
      </c>
      <c r="D46" s="58">
        <v>0</v>
      </c>
      <c r="E46" s="58">
        <v>3</v>
      </c>
      <c r="F46" s="58">
        <f>CustomerList[[#This Row],[URBAN]]+CustomerList[[#This Row],[SEMI URBAN]]+CustomerList[[#This Row],[RURAL]]</f>
        <v>3</v>
      </c>
      <c r="G46" s="58">
        <v>5</v>
      </c>
      <c r="I46" s="52">
        <v>3</v>
      </c>
      <c r="J46" s="52">
        <f>CustomerList[[#This Row],[TOTAL]]-I46</f>
        <v>0</v>
      </c>
      <c r="L46" s="52">
        <v>5</v>
      </c>
      <c r="M46" s="52">
        <f>CustomerList[[#This Row],[ATMS]]-L46</f>
        <v>0</v>
      </c>
    </row>
    <row r="47" spans="1:13" ht="15" customHeight="1">
      <c r="A47" s="57">
        <v>43</v>
      </c>
      <c r="B47" s="58" t="s">
        <v>73</v>
      </c>
      <c r="C47" s="58">
        <v>3</v>
      </c>
      <c r="D47" s="58">
        <v>12</v>
      </c>
      <c r="E47" s="58">
        <v>21</v>
      </c>
      <c r="F47" s="58">
        <f>CustomerList[[#This Row],[URBAN]]+CustomerList[[#This Row],[SEMI URBAN]]+CustomerList[[#This Row],[RURAL]]</f>
        <v>36</v>
      </c>
      <c r="G47" s="58">
        <v>35</v>
      </c>
      <c r="I47" s="52">
        <v>34</v>
      </c>
      <c r="J47" s="52">
        <f>CustomerList[[#This Row],[TOTAL]]-I47</f>
        <v>2</v>
      </c>
      <c r="L47" s="52">
        <v>31</v>
      </c>
      <c r="M47" s="52">
        <f>CustomerList[[#This Row],[ATMS]]-L47</f>
        <v>4</v>
      </c>
    </row>
    <row r="48" spans="1:13" ht="15" customHeight="1">
      <c r="A48" s="57">
        <v>44</v>
      </c>
      <c r="B48" s="58" t="s">
        <v>224</v>
      </c>
      <c r="C48" s="58">
        <v>0</v>
      </c>
      <c r="D48" s="58">
        <v>1</v>
      </c>
      <c r="E48" s="58">
        <v>3</v>
      </c>
      <c r="F48" s="58">
        <f>CustomerList[[#This Row],[URBAN]]+CustomerList[[#This Row],[SEMI URBAN]]+CustomerList[[#This Row],[RURAL]]</f>
        <v>4</v>
      </c>
      <c r="G48" s="58">
        <v>5</v>
      </c>
      <c r="I48" s="52">
        <v>4</v>
      </c>
      <c r="J48" s="52">
        <f>CustomerList[[#This Row],[TOTAL]]-I48</f>
        <v>0</v>
      </c>
      <c r="L48" s="52">
        <v>5</v>
      </c>
      <c r="M48" s="52">
        <f>CustomerList[[#This Row],[ATMS]]-L48</f>
        <v>0</v>
      </c>
    </row>
    <row r="49" spans="1:13" ht="15" customHeight="1">
      <c r="A49" s="57">
        <v>45</v>
      </c>
      <c r="B49" s="58" t="s">
        <v>225</v>
      </c>
      <c r="C49" s="58">
        <v>4</v>
      </c>
      <c r="D49" s="58">
        <v>9</v>
      </c>
      <c r="E49" s="58">
        <v>2</v>
      </c>
      <c r="F49" s="58">
        <f>CustomerList[[#This Row],[URBAN]]+CustomerList[[#This Row],[SEMI URBAN]]+CustomerList[[#This Row],[RURAL]]</f>
        <v>15</v>
      </c>
      <c r="G49" s="58">
        <v>13</v>
      </c>
      <c r="I49" s="52">
        <v>13</v>
      </c>
      <c r="J49" s="52">
        <f>CustomerList[[#This Row],[TOTAL]]-I49</f>
        <v>2</v>
      </c>
      <c r="L49" s="52">
        <v>13</v>
      </c>
      <c r="M49" s="52">
        <f>CustomerList[[#This Row],[ATMS]]-L49</f>
        <v>0</v>
      </c>
    </row>
    <row r="50" spans="1:13" ht="15" customHeight="1">
      <c r="A50" s="57">
        <v>46</v>
      </c>
      <c r="B50" s="58" t="s">
        <v>226</v>
      </c>
      <c r="C50" s="58">
        <v>0</v>
      </c>
      <c r="D50" s="58">
        <v>0</v>
      </c>
      <c r="E50" s="58">
        <v>3</v>
      </c>
      <c r="F50" s="58">
        <f>CustomerList[[#This Row],[URBAN]]+CustomerList[[#This Row],[SEMI URBAN]]+CustomerList[[#This Row],[RURAL]]</f>
        <v>3</v>
      </c>
      <c r="G50" s="58">
        <v>4</v>
      </c>
      <c r="I50" s="52">
        <v>3</v>
      </c>
      <c r="J50" s="52">
        <f>CustomerList[[#This Row],[TOTAL]]-I50</f>
        <v>0</v>
      </c>
      <c r="L50" s="52">
        <v>4</v>
      </c>
      <c r="M50" s="52">
        <f>CustomerList[[#This Row],[ATMS]]-L50</f>
        <v>0</v>
      </c>
    </row>
    <row r="51" spans="1:13" ht="15" customHeight="1">
      <c r="A51" s="57">
        <v>47</v>
      </c>
      <c r="B51" s="58" t="s">
        <v>77</v>
      </c>
      <c r="C51" s="58">
        <v>0</v>
      </c>
      <c r="D51" s="58">
        <v>0</v>
      </c>
      <c r="E51" s="58">
        <v>3</v>
      </c>
      <c r="F51" s="58">
        <f>CustomerList[[#This Row],[URBAN]]+CustomerList[[#This Row],[SEMI URBAN]]+CustomerList[[#This Row],[RURAL]]</f>
        <v>3</v>
      </c>
      <c r="G51" s="58">
        <v>3</v>
      </c>
      <c r="I51" s="52">
        <v>3</v>
      </c>
      <c r="J51" s="52">
        <f>CustomerList[[#This Row],[TOTAL]]-I51</f>
        <v>0</v>
      </c>
      <c r="L51" s="52">
        <v>3</v>
      </c>
      <c r="M51" s="52">
        <f>CustomerList[[#This Row],[ATMS]]-L51</f>
        <v>0</v>
      </c>
    </row>
    <row r="52" spans="1:13" ht="15" customHeight="1">
      <c r="A52" s="57">
        <v>48</v>
      </c>
      <c r="B52" s="58" t="s">
        <v>227</v>
      </c>
      <c r="C52" s="58">
        <v>0</v>
      </c>
      <c r="D52" s="58">
        <v>2</v>
      </c>
      <c r="E52" s="58">
        <v>1</v>
      </c>
      <c r="F52" s="58">
        <f>CustomerList[[#This Row],[URBAN]]+CustomerList[[#This Row],[SEMI URBAN]]+CustomerList[[#This Row],[RURAL]]</f>
        <v>3</v>
      </c>
      <c r="G52" s="58">
        <v>3</v>
      </c>
      <c r="I52" s="52">
        <v>3</v>
      </c>
      <c r="J52" s="52">
        <f>CustomerList[[#This Row],[TOTAL]]-I52</f>
        <v>0</v>
      </c>
      <c r="L52" s="52">
        <v>3</v>
      </c>
      <c r="M52" s="52">
        <f>CustomerList[[#This Row],[ATMS]]-L52</f>
        <v>0</v>
      </c>
    </row>
    <row r="53" spans="1:13" ht="15" customHeight="1">
      <c r="A53" s="57">
        <v>49</v>
      </c>
      <c r="B53" s="58" t="s">
        <v>76</v>
      </c>
      <c r="C53" s="58">
        <v>12</v>
      </c>
      <c r="D53" s="58">
        <v>27</v>
      </c>
      <c r="E53" s="58">
        <v>14</v>
      </c>
      <c r="F53" s="58">
        <f>CustomerList[[#This Row],[URBAN]]+CustomerList[[#This Row],[SEMI URBAN]]+CustomerList[[#This Row],[RURAL]]</f>
        <v>53</v>
      </c>
      <c r="G53" s="58">
        <v>28</v>
      </c>
      <c r="I53" s="52">
        <v>51</v>
      </c>
      <c r="J53" s="52">
        <f>CustomerList[[#This Row],[TOTAL]]-I53</f>
        <v>2</v>
      </c>
      <c r="L53" s="52">
        <v>22</v>
      </c>
      <c r="M53" s="52">
        <f>CustomerList[[#This Row],[ATMS]]-L53</f>
        <v>6</v>
      </c>
    </row>
    <row r="54" spans="1:13" ht="15" customHeight="1">
      <c r="A54" s="57"/>
      <c r="B54" s="59" t="s">
        <v>287</v>
      </c>
      <c r="C54" s="59">
        <f>SUBTOTAL(109,C32:C53)</f>
        <v>151</v>
      </c>
      <c r="D54" s="59">
        <f t="shared" ref="D54:G54" si="1">SUBTOTAL(109,D32:D53)</f>
        <v>278</v>
      </c>
      <c r="E54" s="59">
        <f t="shared" si="1"/>
        <v>361</v>
      </c>
      <c r="F54" s="59">
        <f t="shared" si="1"/>
        <v>790</v>
      </c>
      <c r="G54" s="59">
        <f t="shared" si="1"/>
        <v>1222</v>
      </c>
      <c r="I54" s="345">
        <v>743</v>
      </c>
      <c r="J54" s="52">
        <f>CustomerList[[#This Row],[TOTAL]]-I54</f>
        <v>47</v>
      </c>
      <c r="L54" s="52">
        <v>1211</v>
      </c>
      <c r="M54" s="52">
        <f>CustomerList[[#This Row],[ATMS]]-L54</f>
        <v>11</v>
      </c>
    </row>
    <row r="55" spans="1:13" ht="15" customHeight="1">
      <c r="A55" s="57">
        <v>50</v>
      </c>
      <c r="B55" s="58" t="s">
        <v>46</v>
      </c>
      <c r="C55" s="58">
        <v>273</v>
      </c>
      <c r="D55" s="58">
        <v>134</v>
      </c>
      <c r="E55" s="58">
        <v>48</v>
      </c>
      <c r="F55" s="58">
        <f>CustomerList[[#This Row],[URBAN]]+CustomerList[[#This Row],[SEMI URBAN]]+CustomerList[[#This Row],[RURAL]]</f>
        <v>455</v>
      </c>
      <c r="G55" s="58">
        <v>0</v>
      </c>
      <c r="I55" s="52">
        <v>455</v>
      </c>
      <c r="J55" s="52">
        <f>CustomerList[[#This Row],[TOTAL]]-I55</f>
        <v>0</v>
      </c>
      <c r="L55" s="52">
        <v>0</v>
      </c>
      <c r="M55" s="52">
        <f>CustomerList[[#This Row],[ATMS]]-L55</f>
        <v>0</v>
      </c>
    </row>
    <row r="56" spans="1:13" ht="15" customHeight="1">
      <c r="A56" s="57">
        <v>51</v>
      </c>
      <c r="B56" s="58" t="s">
        <v>228</v>
      </c>
      <c r="C56" s="58">
        <v>316</v>
      </c>
      <c r="D56" s="58">
        <v>90</v>
      </c>
      <c r="E56" s="58">
        <v>48</v>
      </c>
      <c r="F56" s="58">
        <f>CustomerList[[#This Row],[URBAN]]+CustomerList[[#This Row],[SEMI URBAN]]+CustomerList[[#This Row],[RURAL]]</f>
        <v>454</v>
      </c>
      <c r="G56" s="58">
        <v>0</v>
      </c>
      <c r="I56" s="52">
        <v>454</v>
      </c>
      <c r="J56" s="52">
        <f>CustomerList[[#This Row],[TOTAL]]-I56</f>
        <v>0</v>
      </c>
      <c r="L56" s="52">
        <v>0</v>
      </c>
      <c r="M56" s="52">
        <f>CustomerList[[#This Row],[ATMS]]-L56</f>
        <v>0</v>
      </c>
    </row>
    <row r="57" spans="1:13" ht="15" customHeight="1">
      <c r="A57" s="57">
        <v>52</v>
      </c>
      <c r="B57" s="58" t="s">
        <v>52</v>
      </c>
      <c r="C57" s="58">
        <v>254</v>
      </c>
      <c r="D57" s="58">
        <v>92</v>
      </c>
      <c r="E57" s="58">
        <v>49</v>
      </c>
      <c r="F57" s="58">
        <f>CustomerList[[#This Row],[URBAN]]+CustomerList[[#This Row],[SEMI URBAN]]+CustomerList[[#This Row],[RURAL]]</f>
        <v>395</v>
      </c>
      <c r="G57" s="58">
        <v>0</v>
      </c>
      <c r="I57" s="52">
        <v>387</v>
      </c>
      <c r="J57" s="52">
        <f>CustomerList[[#This Row],[TOTAL]]-I57</f>
        <v>8</v>
      </c>
      <c r="L57" s="52">
        <v>0</v>
      </c>
      <c r="M57" s="52">
        <f>CustomerList[[#This Row],[ATMS]]-L57</f>
        <v>0</v>
      </c>
    </row>
    <row r="58" spans="1:13" ht="15" customHeight="1">
      <c r="A58" s="57"/>
      <c r="B58" s="59" t="s">
        <v>291</v>
      </c>
      <c r="C58" s="59">
        <f>C55+C56+C57</f>
        <v>843</v>
      </c>
      <c r="D58" s="59">
        <f t="shared" ref="D58:G58" si="2">D55+D56+D57</f>
        <v>316</v>
      </c>
      <c r="E58" s="59">
        <f t="shared" si="2"/>
        <v>145</v>
      </c>
      <c r="F58" s="59">
        <f t="shared" si="2"/>
        <v>1304</v>
      </c>
      <c r="G58" s="59">
        <f t="shared" si="2"/>
        <v>0</v>
      </c>
      <c r="I58" s="52">
        <v>1296</v>
      </c>
      <c r="J58" s="52">
        <f>CustomerList[[#This Row],[TOTAL]]-I58</f>
        <v>8</v>
      </c>
      <c r="L58" s="52">
        <v>0</v>
      </c>
      <c r="M58" s="52">
        <f>CustomerList[[#This Row],[ATMS]]-L58</f>
        <v>0</v>
      </c>
    </row>
    <row r="59" spans="1:13" ht="15" customHeight="1">
      <c r="A59" s="57">
        <v>53</v>
      </c>
      <c r="B59" s="58" t="s">
        <v>288</v>
      </c>
      <c r="C59" s="58">
        <v>297</v>
      </c>
      <c r="D59" s="58">
        <v>470</v>
      </c>
      <c r="E59" s="58">
        <v>86</v>
      </c>
      <c r="F59" s="58">
        <f>CustomerList[[#This Row],[URBAN]]+CustomerList[[#This Row],[SEMI URBAN]]+CustomerList[[#This Row],[RURAL]]</f>
        <v>853</v>
      </c>
      <c r="G59" s="58">
        <v>0</v>
      </c>
      <c r="I59" s="52">
        <v>853</v>
      </c>
      <c r="J59" s="52">
        <f>CustomerList[[#This Row],[TOTAL]]-I59</f>
        <v>0</v>
      </c>
      <c r="L59" s="52">
        <v>0</v>
      </c>
      <c r="M59" s="52">
        <f>CustomerList[[#This Row],[ATMS]]-L59</f>
        <v>0</v>
      </c>
    </row>
    <row r="60" spans="1:13" ht="15" customHeight="1">
      <c r="A60" s="57"/>
      <c r="B60" s="59" t="s">
        <v>289</v>
      </c>
      <c r="C60" s="59">
        <f>C59</f>
        <v>297</v>
      </c>
      <c r="D60" s="59">
        <f t="shared" ref="D60:G60" si="3">D59</f>
        <v>470</v>
      </c>
      <c r="E60" s="59">
        <f t="shared" si="3"/>
        <v>86</v>
      </c>
      <c r="F60" s="59">
        <f t="shared" si="3"/>
        <v>853</v>
      </c>
      <c r="G60" s="59">
        <f t="shared" si="3"/>
        <v>0</v>
      </c>
      <c r="I60" s="52">
        <v>853</v>
      </c>
      <c r="J60" s="52">
        <f>CustomerList[[#This Row],[TOTAL]]-I60</f>
        <v>0</v>
      </c>
      <c r="L60" s="52">
        <v>0</v>
      </c>
      <c r="M60" s="52">
        <f>CustomerList[[#This Row],[ATMS]]-L60</f>
        <v>0</v>
      </c>
    </row>
    <row r="61" spans="1:13" ht="15" customHeight="1">
      <c r="A61" s="350"/>
      <c r="B61" s="59" t="s">
        <v>290</v>
      </c>
      <c r="C61" s="59">
        <f>C60+C58+C54+C31</f>
        <v>2615</v>
      </c>
      <c r="D61" s="59">
        <f t="shared" ref="D61:G61" si="4">D60+D58+D54+D31</f>
        <v>2309</v>
      </c>
      <c r="E61" s="59">
        <f t="shared" si="4"/>
        <v>2294</v>
      </c>
      <c r="F61" s="59">
        <f t="shared" si="4"/>
        <v>7218</v>
      </c>
      <c r="G61" s="59">
        <f t="shared" si="4"/>
        <v>9284</v>
      </c>
      <c r="I61" s="52">
        <v>7143</v>
      </c>
      <c r="J61" s="52">
        <f>CustomerList[[#This Row],[TOTAL]]-I61</f>
        <v>75</v>
      </c>
      <c r="L61" s="52">
        <v>8958</v>
      </c>
      <c r="M61" s="52">
        <f>CustomerList[[#This Row],[ATMS]]-L61</f>
        <v>326</v>
      </c>
    </row>
    <row r="63" spans="1:13" ht="18.75" customHeight="1">
      <c r="C63" s="525">
        <v>2858</v>
      </c>
      <c r="D63" s="525">
        <v>2198</v>
      </c>
      <c r="E63" s="525">
        <v>2073</v>
      </c>
      <c r="F63" s="525">
        <v>7129</v>
      </c>
    </row>
    <row r="65" spans="3:6" ht="18.75" customHeight="1">
      <c r="C65" s="525">
        <f>C61-C63</f>
        <v>-243</v>
      </c>
      <c r="D65" s="525">
        <f t="shared" ref="D65:F65" si="5">D61-D63</f>
        <v>111</v>
      </c>
      <c r="E65" s="525">
        <f t="shared" si="5"/>
        <v>221</v>
      </c>
      <c r="F65" s="525">
        <f t="shared" si="5"/>
        <v>89</v>
      </c>
    </row>
    <row r="68" spans="3:6" ht="18.75" customHeight="1">
      <c r="C68" s="526">
        <v>2597</v>
      </c>
      <c r="D68" s="526">
        <v>2198</v>
      </c>
      <c r="E68" s="526">
        <v>2066</v>
      </c>
      <c r="F68" s="526">
        <v>6861</v>
      </c>
    </row>
    <row r="71" spans="3:6" ht="18.75" customHeight="1">
      <c r="C71" s="525">
        <f>C61-C68</f>
        <v>18</v>
      </c>
      <c r="D71" s="525">
        <f t="shared" ref="D71:F71" si="6">D61-D68</f>
        <v>111</v>
      </c>
      <c r="E71" s="525">
        <f t="shared" si="6"/>
        <v>228</v>
      </c>
      <c r="F71" s="525">
        <f t="shared" si="6"/>
        <v>357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A1:G1"/>
    <mergeCell ref="A2:G2"/>
  </mergeCells>
  <phoneticPr fontId="9" type="noConversion"/>
  <conditionalFormatting sqref="A4:A61">
    <cfRule type="duplicateValues" dxfId="230" priority="122"/>
  </conditionalFormatting>
  <conditionalFormatting sqref="B4:B61">
    <cfRule type="duplicateValues" dxfId="229" priority="123"/>
  </conditionalFormatting>
  <conditionalFormatting sqref="J1:J1048576">
    <cfRule type="cellIs" dxfId="228" priority="2" operator="lessThan">
      <formula>0</formula>
    </cfRule>
  </conditionalFormatting>
  <conditionalFormatting sqref="M1:M1048576">
    <cfRule type="cellIs" dxfId="227" priority="1" operator="lessThan">
      <formula>0</formula>
    </cfRule>
  </conditionalFormatting>
  <printOptions horizontalCentered="1"/>
  <pageMargins left="0.25" right="0.25" top="0.25" bottom="0.5" header="0.3" footer="0.3"/>
  <pageSetup scale="75" fitToHeight="0" orientation="portrait" r:id="rId1"/>
  <headerFooter>
    <oddFooter>&amp;CData Table, State Level Banker's Committee, M.P. as on 31.12.2016&amp;RPage No. 75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66"/>
  <sheetViews>
    <sheetView zoomScaleNormal="100" workbookViewId="0">
      <pane xSplit="2" ySplit="5" topLeftCell="C51" activePane="bottomRight" state="frozen"/>
      <selection pane="topRight" activeCell="C1" sqref="C1"/>
      <selection pane="bottomLeft" activeCell="A6" sqref="A6"/>
      <selection pane="bottomRight" activeCell="I68" sqref="I68"/>
    </sheetView>
  </sheetViews>
  <sheetFormatPr defaultRowHeight="13.5"/>
  <cols>
    <col min="1" max="1" width="4.42578125" style="139" customWidth="1"/>
    <col min="2" max="2" width="26.5703125" style="139" customWidth="1"/>
    <col min="3" max="4" width="11.85546875" style="143" bestFit="1" customWidth="1"/>
    <col min="5" max="5" width="10.85546875" style="143" customWidth="1"/>
    <col min="6" max="6" width="12" style="143" bestFit="1" customWidth="1"/>
    <col min="7" max="7" width="9.7109375" style="144" customWidth="1"/>
    <col min="8" max="8" width="10.5703125" style="143" customWidth="1"/>
    <col min="9" max="9" width="10.85546875" style="143" customWidth="1"/>
    <col min="10" max="10" width="10.5703125" style="143" customWidth="1"/>
    <col min="11" max="11" width="11.5703125" style="143" bestFit="1" customWidth="1"/>
    <col min="12" max="12" width="8.28515625" style="145" customWidth="1"/>
    <col min="13" max="13" width="9.140625" style="139"/>
    <col min="14" max="14" width="10" style="145" bestFit="1" customWidth="1"/>
    <col min="15" max="15" width="9.140625" style="145"/>
    <col min="16" max="16384" width="9.140625" style="139"/>
  </cols>
  <sheetData>
    <row r="1" spans="1:17" ht="15" customHeight="1">
      <c r="A1" s="612" t="s">
        <v>760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</row>
    <row r="2" spans="1:17" ht="15" customHeight="1">
      <c r="B2" s="140" t="s">
        <v>134</v>
      </c>
      <c r="C2" s="142"/>
      <c r="D2" s="142"/>
      <c r="I2" s="142" t="s">
        <v>165</v>
      </c>
    </row>
    <row r="3" spans="1:17" ht="15" customHeight="1">
      <c r="A3" s="617" t="s">
        <v>120</v>
      </c>
      <c r="B3" s="609" t="s">
        <v>100</v>
      </c>
      <c r="C3" s="618" t="s">
        <v>43</v>
      </c>
      <c r="D3" s="618"/>
      <c r="E3" s="618"/>
      <c r="F3" s="618"/>
      <c r="G3" s="614" t="s">
        <v>158</v>
      </c>
      <c r="H3" s="613" t="s">
        <v>205</v>
      </c>
      <c r="I3" s="613"/>
      <c r="J3" s="613"/>
      <c r="K3" s="613"/>
      <c r="L3" s="614" t="s">
        <v>158</v>
      </c>
    </row>
    <row r="4" spans="1:17" ht="24.95" customHeight="1">
      <c r="A4" s="617"/>
      <c r="B4" s="610"/>
      <c r="C4" s="613" t="s">
        <v>21</v>
      </c>
      <c r="D4" s="613"/>
      <c r="E4" s="613" t="s">
        <v>160</v>
      </c>
      <c r="F4" s="613"/>
      <c r="G4" s="615"/>
      <c r="H4" s="613" t="s">
        <v>21</v>
      </c>
      <c r="I4" s="613"/>
      <c r="J4" s="613" t="s">
        <v>160</v>
      </c>
      <c r="K4" s="613"/>
      <c r="L4" s="615"/>
    </row>
    <row r="5" spans="1:17" ht="15" customHeight="1">
      <c r="A5" s="617"/>
      <c r="B5" s="611"/>
      <c r="C5" s="297" t="s">
        <v>124</v>
      </c>
      <c r="D5" s="297" t="s">
        <v>99</v>
      </c>
      <c r="E5" s="297" t="s">
        <v>124</v>
      </c>
      <c r="F5" s="297" t="s">
        <v>99</v>
      </c>
      <c r="G5" s="616"/>
      <c r="H5" s="297" t="s">
        <v>124</v>
      </c>
      <c r="I5" s="297" t="s">
        <v>99</v>
      </c>
      <c r="J5" s="297" t="s">
        <v>124</v>
      </c>
      <c r="K5" s="297" t="s">
        <v>99</v>
      </c>
      <c r="L5" s="616"/>
      <c r="M5" s="303"/>
      <c r="N5" s="304"/>
      <c r="O5" s="304"/>
      <c r="P5" s="305"/>
      <c r="Q5" s="305"/>
    </row>
    <row r="6" spans="1:17" ht="15" customHeight="1">
      <c r="A6" s="129">
        <v>1</v>
      </c>
      <c r="B6" s="130" t="s">
        <v>55</v>
      </c>
      <c r="C6" s="87">
        <v>54074</v>
      </c>
      <c r="D6" s="87">
        <v>132297.06</v>
      </c>
      <c r="E6" s="292">
        <v>48564</v>
      </c>
      <c r="F6" s="292">
        <v>128654</v>
      </c>
      <c r="G6" s="88">
        <f>F6*100/D6</f>
        <v>97.246303130243405</v>
      </c>
      <c r="H6" s="87">
        <v>46337</v>
      </c>
      <c r="I6" s="87">
        <v>102589.04</v>
      </c>
      <c r="J6" s="292">
        <v>41578</v>
      </c>
      <c r="K6" s="292">
        <v>97689</v>
      </c>
      <c r="L6" s="131">
        <f>K6*100/I6</f>
        <v>95.223622328467059</v>
      </c>
      <c r="M6" s="305"/>
      <c r="N6" s="304"/>
      <c r="O6" s="304"/>
      <c r="P6" s="305"/>
      <c r="Q6" s="305"/>
    </row>
    <row r="7" spans="1:17" ht="15" customHeight="1">
      <c r="A7" s="129">
        <v>2</v>
      </c>
      <c r="B7" s="130" t="s">
        <v>56</v>
      </c>
      <c r="C7" s="87">
        <v>1164</v>
      </c>
      <c r="D7" s="87">
        <v>3275.33</v>
      </c>
      <c r="E7" s="292">
        <v>1550</v>
      </c>
      <c r="F7" s="292">
        <v>5517.91</v>
      </c>
      <c r="G7" s="88">
        <f t="shared" ref="G7:G63" si="0">F7*100/D7</f>
        <v>168.46882604195608</v>
      </c>
      <c r="H7" s="87">
        <v>998</v>
      </c>
      <c r="I7" s="87">
        <v>2539.84</v>
      </c>
      <c r="J7" s="292">
        <v>1405</v>
      </c>
      <c r="K7" s="292">
        <v>2712.11</v>
      </c>
      <c r="L7" s="131">
        <f t="shared" ref="L7:L63" si="1">K7*100/I7</f>
        <v>106.78271072193523</v>
      </c>
      <c r="M7" s="305"/>
      <c r="N7" s="304"/>
      <c r="O7" s="304"/>
      <c r="P7" s="305"/>
      <c r="Q7" s="305"/>
    </row>
    <row r="8" spans="1:17" ht="15" customHeight="1">
      <c r="A8" s="129">
        <v>3</v>
      </c>
      <c r="B8" s="130" t="s">
        <v>57</v>
      </c>
      <c r="C8" s="87">
        <v>36322</v>
      </c>
      <c r="D8" s="87">
        <v>110861.54</v>
      </c>
      <c r="E8" s="292">
        <v>29467</v>
      </c>
      <c r="F8" s="292">
        <v>106952</v>
      </c>
      <c r="G8" s="88">
        <f t="shared" si="0"/>
        <v>96.47349297150302</v>
      </c>
      <c r="H8" s="87">
        <v>31125</v>
      </c>
      <c r="I8" s="87">
        <v>85966.98</v>
      </c>
      <c r="J8" s="292">
        <v>28752</v>
      </c>
      <c r="K8" s="292">
        <v>94611</v>
      </c>
      <c r="L8" s="131">
        <f t="shared" si="1"/>
        <v>110.05504671677429</v>
      </c>
      <c r="M8" s="305"/>
      <c r="N8" s="304"/>
      <c r="O8" s="304"/>
      <c r="P8" s="305"/>
      <c r="Q8" s="305"/>
    </row>
    <row r="9" spans="1:17" ht="15" customHeight="1">
      <c r="A9" s="129">
        <v>4</v>
      </c>
      <c r="B9" s="130" t="s">
        <v>58</v>
      </c>
      <c r="C9" s="87">
        <v>183600</v>
      </c>
      <c r="D9" s="87">
        <v>678059.37</v>
      </c>
      <c r="E9" s="292">
        <v>1201146</v>
      </c>
      <c r="F9" s="292">
        <v>603959</v>
      </c>
      <c r="G9" s="88">
        <f t="shared" si="0"/>
        <v>89.071698839586858</v>
      </c>
      <c r="H9" s="87">
        <v>157330</v>
      </c>
      <c r="I9" s="87">
        <v>525797.43999999994</v>
      </c>
      <c r="J9" s="292">
        <v>1126557</v>
      </c>
      <c r="K9" s="292">
        <v>513543</v>
      </c>
      <c r="L9" s="131">
        <f t="shared" si="1"/>
        <v>97.669361037588928</v>
      </c>
      <c r="M9" s="305"/>
      <c r="N9" s="304"/>
      <c r="O9" s="304"/>
      <c r="P9" s="305"/>
      <c r="Q9" s="305"/>
    </row>
    <row r="10" spans="1:17" ht="15" customHeight="1">
      <c r="A10" s="129">
        <v>5</v>
      </c>
      <c r="B10" s="130" t="s">
        <v>59</v>
      </c>
      <c r="C10" s="87">
        <v>39084</v>
      </c>
      <c r="D10" s="87">
        <v>113663.74</v>
      </c>
      <c r="E10" s="292">
        <v>40017</v>
      </c>
      <c r="F10" s="292">
        <v>49856.88</v>
      </c>
      <c r="G10" s="88">
        <f t="shared" si="0"/>
        <v>43.86348715958141</v>
      </c>
      <c r="H10" s="87">
        <v>33492</v>
      </c>
      <c r="I10" s="87">
        <v>88139.94</v>
      </c>
      <c r="J10" s="292">
        <v>29837</v>
      </c>
      <c r="K10" s="292">
        <v>39867.550000000003</v>
      </c>
      <c r="L10" s="131">
        <f t="shared" si="1"/>
        <v>45.23210476431003</v>
      </c>
      <c r="M10" s="305"/>
      <c r="N10" s="304"/>
      <c r="O10" s="304"/>
      <c r="P10" s="305"/>
      <c r="Q10" s="305"/>
    </row>
    <row r="11" spans="1:17" ht="15" customHeight="1">
      <c r="A11" s="129">
        <v>6</v>
      </c>
      <c r="B11" s="89" t="s">
        <v>241</v>
      </c>
      <c r="C11" s="87">
        <v>15</v>
      </c>
      <c r="D11" s="87">
        <v>25</v>
      </c>
      <c r="E11" s="292">
        <v>0</v>
      </c>
      <c r="F11" s="292">
        <v>0</v>
      </c>
      <c r="G11" s="88">
        <f t="shared" si="0"/>
        <v>0</v>
      </c>
      <c r="H11" s="87">
        <v>0</v>
      </c>
      <c r="I11" s="87">
        <v>0</v>
      </c>
      <c r="J11" s="292">
        <v>0</v>
      </c>
      <c r="K11" s="292">
        <v>0</v>
      </c>
      <c r="L11" s="131">
        <v>0</v>
      </c>
      <c r="M11" s="305"/>
      <c r="N11" s="304"/>
      <c r="O11" s="304"/>
      <c r="P11" s="305"/>
      <c r="Q11" s="305"/>
    </row>
    <row r="12" spans="1:17" ht="15" customHeight="1">
      <c r="A12" s="129">
        <v>7</v>
      </c>
      <c r="B12" s="130" t="s">
        <v>60</v>
      </c>
      <c r="C12" s="87">
        <v>21135</v>
      </c>
      <c r="D12" s="87">
        <v>56486.68</v>
      </c>
      <c r="E12" s="292">
        <v>11553</v>
      </c>
      <c r="F12" s="292">
        <v>70506</v>
      </c>
      <c r="G12" s="88">
        <f t="shared" si="0"/>
        <v>124.81880684083399</v>
      </c>
      <c r="H12" s="87">
        <v>18111</v>
      </c>
      <c r="I12" s="87">
        <v>43802.3</v>
      </c>
      <c r="J12" s="292">
        <v>8702</v>
      </c>
      <c r="K12" s="292">
        <v>14253</v>
      </c>
      <c r="L12" s="131">
        <f t="shared" si="1"/>
        <v>32.539387201128704</v>
      </c>
      <c r="M12" s="305"/>
      <c r="N12" s="304"/>
      <c r="O12" s="304"/>
      <c r="P12" s="305"/>
      <c r="Q12" s="305"/>
    </row>
    <row r="13" spans="1:17" ht="15" customHeight="1">
      <c r="A13" s="129">
        <v>8</v>
      </c>
      <c r="B13" s="130" t="s">
        <v>61</v>
      </c>
      <c r="C13" s="87">
        <v>196359</v>
      </c>
      <c r="D13" s="87">
        <v>564434.85</v>
      </c>
      <c r="E13" s="292">
        <v>168264</v>
      </c>
      <c r="F13" s="292">
        <v>437688</v>
      </c>
      <c r="G13" s="88">
        <f t="shared" si="0"/>
        <v>77.544467709603694</v>
      </c>
      <c r="H13" s="87">
        <v>168264</v>
      </c>
      <c r="I13" s="87">
        <v>437687.94</v>
      </c>
      <c r="J13" s="292">
        <v>96677</v>
      </c>
      <c r="K13" s="292">
        <v>328584</v>
      </c>
      <c r="L13" s="131">
        <f t="shared" si="1"/>
        <v>75.072664784869332</v>
      </c>
      <c r="M13" s="305"/>
      <c r="N13" s="304"/>
      <c r="O13" s="304"/>
      <c r="P13" s="305"/>
      <c r="Q13" s="305"/>
    </row>
    <row r="14" spans="1:17" ht="15" customHeight="1">
      <c r="A14" s="129">
        <v>9</v>
      </c>
      <c r="B14" s="130" t="s">
        <v>48</v>
      </c>
      <c r="C14" s="87">
        <v>4311</v>
      </c>
      <c r="D14" s="87">
        <v>13963.1</v>
      </c>
      <c r="E14" s="292">
        <v>4505</v>
      </c>
      <c r="F14" s="292">
        <v>12510</v>
      </c>
      <c r="G14" s="88">
        <f t="shared" si="0"/>
        <v>89.593285158739818</v>
      </c>
      <c r="H14" s="87">
        <v>3694</v>
      </c>
      <c r="I14" s="87">
        <v>10827.62</v>
      </c>
      <c r="J14" s="292">
        <v>2318</v>
      </c>
      <c r="K14" s="292">
        <v>7099</v>
      </c>
      <c r="L14" s="131">
        <f t="shared" si="1"/>
        <v>65.56380811295557</v>
      </c>
      <c r="M14" s="305"/>
      <c r="N14" s="304"/>
      <c r="O14" s="304"/>
      <c r="P14" s="305"/>
      <c r="Q14" s="305"/>
    </row>
    <row r="15" spans="1:17" ht="15" customHeight="1">
      <c r="A15" s="129">
        <v>10</v>
      </c>
      <c r="B15" s="130" t="s">
        <v>49</v>
      </c>
      <c r="C15" s="87">
        <v>11344</v>
      </c>
      <c r="D15" s="87">
        <v>39277.339999999997</v>
      </c>
      <c r="E15" s="292">
        <v>7841</v>
      </c>
      <c r="F15" s="292">
        <v>13678</v>
      </c>
      <c r="G15" s="88">
        <f t="shared" si="0"/>
        <v>34.824150515284387</v>
      </c>
      <c r="H15" s="87">
        <v>9722</v>
      </c>
      <c r="I15" s="87">
        <v>30457.4</v>
      </c>
      <c r="J15" s="292">
        <v>7424</v>
      </c>
      <c r="K15" s="292">
        <v>11636</v>
      </c>
      <c r="L15" s="131">
        <f t="shared" si="1"/>
        <v>38.204180264894575</v>
      </c>
      <c r="M15" s="305"/>
      <c r="N15" s="304"/>
      <c r="O15" s="304"/>
      <c r="P15" s="305"/>
      <c r="Q15" s="305"/>
    </row>
    <row r="16" spans="1:17" ht="15" customHeight="1">
      <c r="A16" s="129">
        <v>11</v>
      </c>
      <c r="B16" s="130" t="s">
        <v>81</v>
      </c>
      <c r="C16" s="87">
        <v>7630</v>
      </c>
      <c r="D16" s="87">
        <v>22892.94</v>
      </c>
      <c r="E16" s="292">
        <v>15292</v>
      </c>
      <c r="F16" s="292">
        <v>37667</v>
      </c>
      <c r="G16" s="88">
        <f t="shared" si="0"/>
        <v>164.53544193100581</v>
      </c>
      <c r="H16" s="87">
        <v>6538</v>
      </c>
      <c r="I16" s="87">
        <v>17752.2</v>
      </c>
      <c r="J16" s="292">
        <v>7296</v>
      </c>
      <c r="K16" s="292">
        <v>15455</v>
      </c>
      <c r="L16" s="131">
        <f t="shared" si="1"/>
        <v>87.059632045605611</v>
      </c>
      <c r="M16" s="305"/>
      <c r="N16" s="304"/>
      <c r="O16" s="304"/>
      <c r="P16" s="305"/>
      <c r="Q16" s="305"/>
    </row>
    <row r="17" spans="1:17" ht="15" customHeight="1">
      <c r="A17" s="129">
        <v>12</v>
      </c>
      <c r="B17" s="130" t="s">
        <v>62</v>
      </c>
      <c r="C17" s="87">
        <v>3329</v>
      </c>
      <c r="D17" s="87">
        <v>11227.65</v>
      </c>
      <c r="E17" s="292">
        <v>1872</v>
      </c>
      <c r="F17" s="292">
        <v>2247</v>
      </c>
      <c r="G17" s="88">
        <f t="shared" si="0"/>
        <v>20.013092677452541</v>
      </c>
      <c r="H17" s="87">
        <v>2854</v>
      </c>
      <c r="I17" s="87">
        <v>8706.42</v>
      </c>
      <c r="J17" s="292">
        <v>1872</v>
      </c>
      <c r="K17" s="292">
        <v>2247</v>
      </c>
      <c r="L17" s="131">
        <f t="shared" si="1"/>
        <v>25.808541283328854</v>
      </c>
      <c r="M17" s="305"/>
      <c r="N17" s="304"/>
      <c r="O17" s="304"/>
      <c r="P17" s="305"/>
      <c r="Q17" s="305"/>
    </row>
    <row r="18" spans="1:17" ht="15" customHeight="1">
      <c r="A18" s="129">
        <v>13</v>
      </c>
      <c r="B18" s="130" t="s">
        <v>63</v>
      </c>
      <c r="C18" s="87">
        <v>3884</v>
      </c>
      <c r="D18" s="87">
        <v>10855.43</v>
      </c>
      <c r="E18" s="292">
        <v>83</v>
      </c>
      <c r="F18" s="292">
        <v>334.12</v>
      </c>
      <c r="G18" s="88">
        <f t="shared" si="0"/>
        <v>3.0779066329016906</v>
      </c>
      <c r="H18" s="87">
        <v>3328</v>
      </c>
      <c r="I18" s="87">
        <v>8417.7800000000007</v>
      </c>
      <c r="J18" s="292">
        <v>69</v>
      </c>
      <c r="K18" s="292">
        <v>294.67</v>
      </c>
      <c r="L18" s="131">
        <f t="shared" si="1"/>
        <v>3.5005666577173553</v>
      </c>
      <c r="M18" s="305"/>
      <c r="N18" s="304"/>
      <c r="O18" s="304"/>
      <c r="P18" s="305"/>
      <c r="Q18" s="305"/>
    </row>
    <row r="19" spans="1:17" ht="15" customHeight="1">
      <c r="A19" s="129">
        <v>14</v>
      </c>
      <c r="B19" s="90" t="s">
        <v>206</v>
      </c>
      <c r="C19" s="87">
        <v>13936</v>
      </c>
      <c r="D19" s="87">
        <v>44640.09</v>
      </c>
      <c r="E19" s="292">
        <v>12105</v>
      </c>
      <c r="F19" s="292">
        <v>41539</v>
      </c>
      <c r="G19" s="88">
        <f t="shared" si="0"/>
        <v>93.053127805073871</v>
      </c>
      <c r="H19" s="87">
        <v>11942</v>
      </c>
      <c r="I19" s="87">
        <v>34615.919999999998</v>
      </c>
      <c r="J19" s="292">
        <v>12056</v>
      </c>
      <c r="K19" s="292">
        <v>39982</v>
      </c>
      <c r="L19" s="131">
        <f t="shared" si="1"/>
        <v>115.50176912819305</v>
      </c>
      <c r="M19" s="305"/>
      <c r="N19" s="304"/>
      <c r="O19" s="304"/>
      <c r="P19" s="305"/>
      <c r="Q19" s="305"/>
    </row>
    <row r="20" spans="1:17" ht="15" customHeight="1">
      <c r="A20" s="129">
        <v>15</v>
      </c>
      <c r="B20" s="130" t="s">
        <v>207</v>
      </c>
      <c r="C20" s="87">
        <v>6145</v>
      </c>
      <c r="D20" s="87">
        <v>20050.099999999999</v>
      </c>
      <c r="E20" s="292">
        <v>725</v>
      </c>
      <c r="F20" s="292">
        <v>1803.87</v>
      </c>
      <c r="G20" s="88">
        <f t="shared" si="0"/>
        <v>8.9968129834763921</v>
      </c>
      <c r="H20" s="87">
        <v>5266</v>
      </c>
      <c r="I20" s="87">
        <v>15547.74</v>
      </c>
      <c r="J20" s="292">
        <v>648</v>
      </c>
      <c r="K20" s="292">
        <v>1536.54</v>
      </c>
      <c r="L20" s="131">
        <f t="shared" si="1"/>
        <v>9.882722505007159</v>
      </c>
      <c r="M20" s="305"/>
      <c r="N20" s="304"/>
      <c r="O20" s="304"/>
      <c r="P20" s="305"/>
      <c r="Q20" s="305"/>
    </row>
    <row r="21" spans="1:17" ht="15" customHeight="1">
      <c r="A21" s="129">
        <v>16</v>
      </c>
      <c r="B21" s="130" t="s">
        <v>64</v>
      </c>
      <c r="C21" s="87">
        <v>78576</v>
      </c>
      <c r="D21" s="87">
        <v>254603.81</v>
      </c>
      <c r="E21" s="292">
        <v>91280</v>
      </c>
      <c r="F21" s="292">
        <v>211338</v>
      </c>
      <c r="G21" s="88">
        <f t="shared" si="0"/>
        <v>83.006613294592881</v>
      </c>
      <c r="H21" s="87">
        <v>67334</v>
      </c>
      <c r="I21" s="87">
        <v>197431.14</v>
      </c>
      <c r="J21" s="292">
        <v>87380</v>
      </c>
      <c r="K21" s="292">
        <v>183128</v>
      </c>
      <c r="L21" s="131">
        <f t="shared" si="1"/>
        <v>92.755377900365659</v>
      </c>
      <c r="M21" s="305"/>
      <c r="N21" s="304"/>
      <c r="O21" s="304"/>
      <c r="P21" s="305"/>
      <c r="Q21" s="305"/>
    </row>
    <row r="22" spans="1:17" ht="15" customHeight="1">
      <c r="A22" s="129">
        <v>17</v>
      </c>
      <c r="B22" s="130" t="s">
        <v>69</v>
      </c>
      <c r="C22" s="87">
        <v>65</v>
      </c>
      <c r="D22" s="87">
        <v>223.17</v>
      </c>
      <c r="E22" s="292">
        <v>0</v>
      </c>
      <c r="F22" s="292">
        <v>0</v>
      </c>
      <c r="G22" s="88">
        <f t="shared" si="0"/>
        <v>0</v>
      </c>
      <c r="H22" s="87">
        <v>56</v>
      </c>
      <c r="I22" s="87">
        <v>173.06</v>
      </c>
      <c r="J22" s="292">
        <v>0</v>
      </c>
      <c r="K22" s="292">
        <v>0</v>
      </c>
      <c r="L22" s="131">
        <f t="shared" si="1"/>
        <v>0</v>
      </c>
      <c r="M22" s="305"/>
      <c r="N22" s="304"/>
      <c r="O22" s="304"/>
      <c r="P22" s="305"/>
      <c r="Q22" s="305"/>
    </row>
    <row r="23" spans="1:17" ht="15" customHeight="1">
      <c r="A23" s="129">
        <v>18</v>
      </c>
      <c r="B23" s="130" t="s">
        <v>208</v>
      </c>
      <c r="C23" s="87">
        <v>28</v>
      </c>
      <c r="D23" s="87">
        <v>126.06</v>
      </c>
      <c r="E23" s="292">
        <v>0</v>
      </c>
      <c r="F23" s="292">
        <v>0</v>
      </c>
      <c r="G23" s="88">
        <f t="shared" si="0"/>
        <v>0</v>
      </c>
      <c r="H23" s="87">
        <v>24</v>
      </c>
      <c r="I23" s="87">
        <v>97.76</v>
      </c>
      <c r="J23" s="292">
        <v>0</v>
      </c>
      <c r="K23" s="292">
        <v>0</v>
      </c>
      <c r="L23" s="131">
        <f t="shared" si="1"/>
        <v>0</v>
      </c>
      <c r="M23" s="305"/>
      <c r="N23" s="304"/>
      <c r="O23" s="304"/>
      <c r="P23" s="305"/>
      <c r="Q23" s="305"/>
    </row>
    <row r="24" spans="1:17" ht="15" customHeight="1">
      <c r="A24" s="129">
        <v>19</v>
      </c>
      <c r="B24" s="130" t="s">
        <v>209</v>
      </c>
      <c r="C24" s="93">
        <v>321</v>
      </c>
      <c r="D24" s="93">
        <v>638.35</v>
      </c>
      <c r="E24" s="292">
        <v>0</v>
      </c>
      <c r="F24" s="292">
        <v>0</v>
      </c>
      <c r="G24" s="88">
        <f t="shared" si="0"/>
        <v>0</v>
      </c>
      <c r="H24" s="93">
        <v>275</v>
      </c>
      <c r="I24" s="93">
        <v>495</v>
      </c>
      <c r="J24" s="292">
        <v>0</v>
      </c>
      <c r="K24" s="292">
        <v>0</v>
      </c>
      <c r="L24" s="131">
        <f t="shared" si="1"/>
        <v>0</v>
      </c>
      <c r="M24" s="305"/>
      <c r="N24" s="304"/>
      <c r="O24" s="304"/>
      <c r="P24" s="305"/>
      <c r="Q24" s="305"/>
    </row>
    <row r="25" spans="1:17" ht="15" customHeight="1">
      <c r="A25" s="129">
        <v>20</v>
      </c>
      <c r="B25" s="89" t="s">
        <v>210</v>
      </c>
      <c r="C25" s="87">
        <v>125</v>
      </c>
      <c r="D25" s="87">
        <v>435.81</v>
      </c>
      <c r="E25" s="292">
        <v>0</v>
      </c>
      <c r="F25" s="292">
        <v>0</v>
      </c>
      <c r="G25" s="88">
        <f t="shared" si="0"/>
        <v>0</v>
      </c>
      <c r="H25" s="87">
        <v>107</v>
      </c>
      <c r="I25" s="87">
        <v>337.95</v>
      </c>
      <c r="J25" s="292">
        <v>0</v>
      </c>
      <c r="K25" s="292">
        <v>0</v>
      </c>
      <c r="L25" s="131">
        <f t="shared" si="1"/>
        <v>0</v>
      </c>
      <c r="M25" s="305"/>
      <c r="N25" s="304"/>
      <c r="O25" s="304"/>
      <c r="P25" s="305"/>
      <c r="Q25" s="305"/>
    </row>
    <row r="26" spans="1:17" ht="15" customHeight="1">
      <c r="A26" s="129">
        <v>21</v>
      </c>
      <c r="B26" s="130" t="s">
        <v>211</v>
      </c>
      <c r="C26" s="87">
        <v>759</v>
      </c>
      <c r="D26" s="87">
        <v>2920.9</v>
      </c>
      <c r="E26" s="292">
        <v>0</v>
      </c>
      <c r="F26" s="292">
        <v>0</v>
      </c>
      <c r="G26" s="88">
        <f t="shared" si="0"/>
        <v>0</v>
      </c>
      <c r="H26" s="87">
        <v>650</v>
      </c>
      <c r="I26" s="87">
        <v>2264.98</v>
      </c>
      <c r="J26" s="110">
        <v>0</v>
      </c>
      <c r="K26" s="110">
        <v>0</v>
      </c>
      <c r="L26" s="131">
        <f t="shared" si="1"/>
        <v>0</v>
      </c>
      <c r="M26" s="305"/>
      <c r="N26" s="304"/>
      <c r="O26" s="304"/>
      <c r="P26" s="305"/>
      <c r="Q26" s="305"/>
    </row>
    <row r="27" spans="1:17" ht="15" customHeight="1">
      <c r="A27" s="129">
        <v>22</v>
      </c>
      <c r="B27" s="130" t="s">
        <v>70</v>
      </c>
      <c r="C27" s="93">
        <v>579118</v>
      </c>
      <c r="D27" s="93">
        <f>1846958-714.54</f>
        <v>1846243.46</v>
      </c>
      <c r="E27" s="293">
        <v>423408</v>
      </c>
      <c r="F27" s="293">
        <v>916687</v>
      </c>
      <c r="G27" s="88">
        <f t="shared" si="0"/>
        <v>49.651469042983095</v>
      </c>
      <c r="H27" s="93">
        <v>496258</v>
      </c>
      <c r="I27" s="93">
        <v>1432213.84</v>
      </c>
      <c r="J27" s="293">
        <v>421018</v>
      </c>
      <c r="K27" s="293">
        <v>903937</v>
      </c>
      <c r="L27" s="131">
        <f t="shared" si="1"/>
        <v>63.114667290186219</v>
      </c>
      <c r="M27" s="305"/>
      <c r="N27" s="304"/>
      <c r="O27" s="304"/>
      <c r="P27" s="305"/>
      <c r="Q27" s="305"/>
    </row>
    <row r="28" spans="1:17" ht="15" customHeight="1">
      <c r="A28" s="129">
        <v>23</v>
      </c>
      <c r="B28" s="90" t="s">
        <v>65</v>
      </c>
      <c r="C28" s="87">
        <v>15374</v>
      </c>
      <c r="D28" s="87">
        <v>39813.050000000003</v>
      </c>
      <c r="E28" s="292">
        <v>9034</v>
      </c>
      <c r="F28" s="292">
        <v>13312</v>
      </c>
      <c r="G28" s="88">
        <f t="shared" si="0"/>
        <v>33.436272779905082</v>
      </c>
      <c r="H28" s="87">
        <v>13174</v>
      </c>
      <c r="I28" s="87">
        <v>30872.82</v>
      </c>
      <c r="J28" s="292">
        <v>7230</v>
      </c>
      <c r="K28" s="292">
        <v>10632</v>
      </c>
      <c r="L28" s="131">
        <f t="shared" si="1"/>
        <v>34.43805910830303</v>
      </c>
      <c r="M28" s="305"/>
      <c r="N28" s="304"/>
      <c r="O28" s="304"/>
      <c r="P28" s="305"/>
      <c r="Q28" s="305"/>
    </row>
    <row r="29" spans="1:17" ht="15" customHeight="1">
      <c r="A29" s="129">
        <v>24</v>
      </c>
      <c r="B29" s="58" t="s">
        <v>212</v>
      </c>
      <c r="C29" s="87">
        <v>41458</v>
      </c>
      <c r="D29" s="87">
        <v>131290.79999999999</v>
      </c>
      <c r="E29" s="292">
        <v>2804</v>
      </c>
      <c r="F29" s="292">
        <v>6750</v>
      </c>
      <c r="G29" s="88">
        <f t="shared" si="0"/>
        <v>5.1412589457905664</v>
      </c>
      <c r="H29" s="87">
        <v>35526</v>
      </c>
      <c r="I29" s="87">
        <v>101808.74</v>
      </c>
      <c r="J29" s="292">
        <v>2780</v>
      </c>
      <c r="K29" s="292">
        <v>6630</v>
      </c>
      <c r="L29" s="131">
        <f t="shared" si="1"/>
        <v>6.5122110341410764</v>
      </c>
      <c r="M29" s="305"/>
      <c r="N29" s="304"/>
      <c r="O29" s="304"/>
      <c r="P29" s="305"/>
      <c r="Q29" s="305"/>
    </row>
    <row r="30" spans="1:17" ht="15" customHeight="1">
      <c r="A30" s="129">
        <v>25</v>
      </c>
      <c r="B30" s="91" t="s">
        <v>66</v>
      </c>
      <c r="C30" s="87">
        <v>88914</v>
      </c>
      <c r="D30" s="87">
        <v>210100.66</v>
      </c>
      <c r="E30" s="292">
        <v>74232</v>
      </c>
      <c r="F30" s="292">
        <v>210828</v>
      </c>
      <c r="G30" s="88">
        <f t="shared" si="0"/>
        <v>100.34618644225107</v>
      </c>
      <c r="H30" s="87">
        <v>76192</v>
      </c>
      <c r="I30" s="87">
        <v>162921.41</v>
      </c>
      <c r="J30" s="292">
        <v>71275</v>
      </c>
      <c r="K30" s="292">
        <v>175670</v>
      </c>
      <c r="L30" s="131">
        <f t="shared" si="1"/>
        <v>107.82499365798516</v>
      </c>
      <c r="M30" s="305"/>
      <c r="N30" s="304"/>
      <c r="O30" s="304"/>
      <c r="P30" s="305"/>
      <c r="Q30" s="305"/>
    </row>
    <row r="31" spans="1:17" ht="15">
      <c r="A31" s="129">
        <v>26</v>
      </c>
      <c r="B31" s="130" t="s">
        <v>67</v>
      </c>
      <c r="C31" s="87">
        <v>1018</v>
      </c>
      <c r="D31" s="87">
        <v>2703.56</v>
      </c>
      <c r="E31" s="292">
        <v>1018</v>
      </c>
      <c r="F31" s="292">
        <v>2016</v>
      </c>
      <c r="G31" s="88">
        <f t="shared" si="0"/>
        <v>74.568346920356859</v>
      </c>
      <c r="H31" s="87">
        <v>872</v>
      </c>
      <c r="I31" s="87">
        <v>2096.46</v>
      </c>
      <c r="J31" s="292">
        <v>3570</v>
      </c>
      <c r="K31" s="292">
        <v>8154</v>
      </c>
      <c r="L31" s="131">
        <f t="shared" si="1"/>
        <v>388.94135828968831</v>
      </c>
      <c r="M31" s="305"/>
      <c r="N31" s="304"/>
      <c r="O31" s="304"/>
      <c r="P31" s="305"/>
      <c r="Q31" s="305"/>
    </row>
    <row r="32" spans="1:17" ht="15" customHeight="1">
      <c r="A32" s="129">
        <v>27</v>
      </c>
      <c r="B32" s="130" t="s">
        <v>50</v>
      </c>
      <c r="C32" s="87">
        <v>4166</v>
      </c>
      <c r="D32" s="87">
        <v>13146.41</v>
      </c>
      <c r="E32" s="292">
        <v>7810</v>
      </c>
      <c r="F32" s="292">
        <v>16160</v>
      </c>
      <c r="G32" s="88">
        <f t="shared" si="0"/>
        <v>122.92329236650919</v>
      </c>
      <c r="H32" s="87">
        <v>3570</v>
      </c>
      <c r="I32" s="87">
        <v>10194.32</v>
      </c>
      <c r="J32" s="292">
        <v>7389</v>
      </c>
      <c r="K32" s="292">
        <v>14860</v>
      </c>
      <c r="L32" s="131">
        <f t="shared" si="1"/>
        <v>145.76744697046985</v>
      </c>
      <c r="M32" s="305"/>
      <c r="N32" s="304"/>
      <c r="O32" s="304"/>
      <c r="P32" s="305"/>
      <c r="Q32" s="305"/>
    </row>
    <row r="33" spans="1:18" s="140" customFormat="1" ht="15" customHeight="1">
      <c r="A33" s="296"/>
      <c r="B33" s="132" t="s">
        <v>213</v>
      </c>
      <c r="C33" s="92">
        <f>SUM(C6:C32)</f>
        <v>1392254</v>
      </c>
      <c r="D33" s="92">
        <f t="shared" ref="D33:K33" si="2">SUM(D6:D32)</f>
        <v>4324256.26</v>
      </c>
      <c r="E33" s="92">
        <f t="shared" si="2"/>
        <v>2152570</v>
      </c>
      <c r="F33" s="92">
        <f t="shared" si="2"/>
        <v>2890003.7800000003</v>
      </c>
      <c r="G33" s="88">
        <f t="shared" si="0"/>
        <v>66.832389345954255</v>
      </c>
      <c r="H33" s="92">
        <f t="shared" si="2"/>
        <v>1193039</v>
      </c>
      <c r="I33" s="92">
        <f t="shared" si="2"/>
        <v>3353756.04</v>
      </c>
      <c r="J33" s="92">
        <f t="shared" si="2"/>
        <v>1965833</v>
      </c>
      <c r="K33" s="92">
        <f t="shared" si="2"/>
        <v>2472520.87</v>
      </c>
      <c r="L33" s="131">
        <f t="shared" si="1"/>
        <v>73.723933420034925</v>
      </c>
      <c r="M33" s="305"/>
      <c r="N33" s="304"/>
      <c r="O33" s="304"/>
    </row>
    <row r="34" spans="1:18" ht="15" customHeight="1">
      <c r="A34" s="129">
        <v>28</v>
      </c>
      <c r="B34" s="130" t="s">
        <v>47</v>
      </c>
      <c r="C34" s="87">
        <v>22872</v>
      </c>
      <c r="D34" s="87">
        <v>65152.83</v>
      </c>
      <c r="E34" s="87">
        <v>116613</v>
      </c>
      <c r="F34" s="87">
        <v>83444</v>
      </c>
      <c r="G34" s="88">
        <f t="shared" si="0"/>
        <v>128.07425249217877</v>
      </c>
      <c r="H34" s="87">
        <v>19599</v>
      </c>
      <c r="I34" s="87">
        <v>50522.400000000001</v>
      </c>
      <c r="J34" s="87">
        <v>4744</v>
      </c>
      <c r="K34" s="87">
        <v>29854.71</v>
      </c>
      <c r="L34" s="131">
        <f t="shared" si="1"/>
        <v>59.092026507054292</v>
      </c>
      <c r="M34" s="305"/>
      <c r="N34" s="304"/>
      <c r="O34" s="304"/>
    </row>
    <row r="35" spans="1:18" ht="15" customHeight="1">
      <c r="A35" s="129">
        <v>29</v>
      </c>
      <c r="B35" s="130" t="s">
        <v>214</v>
      </c>
      <c r="C35" s="87">
        <v>695</v>
      </c>
      <c r="D35" s="87">
        <v>516.98</v>
      </c>
      <c r="E35" s="87">
        <v>0</v>
      </c>
      <c r="F35" s="87">
        <v>0</v>
      </c>
      <c r="G35" s="88">
        <f t="shared" si="0"/>
        <v>0</v>
      </c>
      <c r="H35" s="87">
        <v>652</v>
      </c>
      <c r="I35" s="87">
        <v>387.1</v>
      </c>
      <c r="J35" s="87">
        <v>0</v>
      </c>
      <c r="K35" s="87">
        <v>0</v>
      </c>
      <c r="L35" s="131">
        <f t="shared" si="1"/>
        <v>0</v>
      </c>
      <c r="M35" s="305"/>
      <c r="N35" s="304"/>
      <c r="O35" s="304"/>
    </row>
    <row r="36" spans="1:18" ht="15" customHeight="1">
      <c r="A36" s="129">
        <v>30</v>
      </c>
      <c r="B36" s="98" t="s">
        <v>215</v>
      </c>
      <c r="C36" s="87">
        <v>0</v>
      </c>
      <c r="D36" s="87">
        <v>0</v>
      </c>
      <c r="E36" s="87">
        <v>0</v>
      </c>
      <c r="F36" s="87">
        <v>0</v>
      </c>
      <c r="G36" s="88">
        <v>0</v>
      </c>
      <c r="H36" s="87">
        <v>0</v>
      </c>
      <c r="I36" s="87">
        <v>0</v>
      </c>
      <c r="J36" s="87">
        <v>0</v>
      </c>
      <c r="K36" s="87">
        <v>0</v>
      </c>
      <c r="L36" s="131">
        <v>0</v>
      </c>
      <c r="M36" s="305"/>
      <c r="N36" s="304"/>
      <c r="O36" s="304"/>
    </row>
    <row r="37" spans="1:18" ht="15" customHeight="1">
      <c r="A37" s="129">
        <v>31</v>
      </c>
      <c r="B37" s="98" t="s">
        <v>78</v>
      </c>
      <c r="C37" s="87">
        <v>0</v>
      </c>
      <c r="D37" s="87">
        <v>0</v>
      </c>
      <c r="E37" s="87">
        <v>0</v>
      </c>
      <c r="F37" s="87">
        <v>0</v>
      </c>
      <c r="G37" s="88">
        <v>0</v>
      </c>
      <c r="H37" s="87">
        <v>0</v>
      </c>
      <c r="I37" s="87">
        <v>0</v>
      </c>
      <c r="J37" s="87">
        <v>0</v>
      </c>
      <c r="K37" s="87">
        <v>0</v>
      </c>
      <c r="L37" s="131">
        <v>0</v>
      </c>
      <c r="M37" s="305"/>
      <c r="N37" s="304"/>
      <c r="O37" s="304"/>
    </row>
    <row r="38" spans="1:18" ht="15" customHeight="1">
      <c r="A38" s="129">
        <v>32</v>
      </c>
      <c r="B38" s="130" t="s">
        <v>51</v>
      </c>
      <c r="C38" s="87">
        <v>0</v>
      </c>
      <c r="D38" s="87">
        <v>0</v>
      </c>
      <c r="E38" s="87">
        <v>0</v>
      </c>
      <c r="F38" s="87">
        <v>0</v>
      </c>
      <c r="G38" s="88">
        <v>0</v>
      </c>
      <c r="H38" s="87">
        <v>0</v>
      </c>
      <c r="I38" s="87">
        <v>0</v>
      </c>
      <c r="J38" s="87">
        <v>0</v>
      </c>
      <c r="K38" s="87">
        <v>0</v>
      </c>
      <c r="L38" s="131">
        <v>0</v>
      </c>
      <c r="M38" s="305"/>
      <c r="N38" s="304"/>
      <c r="O38" s="304"/>
    </row>
    <row r="39" spans="1:18" ht="15" customHeight="1">
      <c r="A39" s="129">
        <v>33</v>
      </c>
      <c r="B39" s="130" t="s">
        <v>216</v>
      </c>
      <c r="C39" s="87">
        <v>401</v>
      </c>
      <c r="D39" s="87">
        <v>873.08</v>
      </c>
      <c r="E39" s="87">
        <v>11931</v>
      </c>
      <c r="F39" s="87">
        <v>19303.080000000002</v>
      </c>
      <c r="G39" s="88">
        <f t="shared" si="0"/>
        <v>2210.9176707747288</v>
      </c>
      <c r="H39" s="87">
        <v>344</v>
      </c>
      <c r="I39" s="87">
        <v>677.02</v>
      </c>
      <c r="J39" s="87">
        <v>6035</v>
      </c>
      <c r="K39" s="87">
        <v>13562.02</v>
      </c>
      <c r="L39" s="131">
        <f t="shared" si="1"/>
        <v>2003.1934063986293</v>
      </c>
      <c r="M39" s="305"/>
      <c r="N39" s="304"/>
      <c r="O39" s="304"/>
    </row>
    <row r="40" spans="1:18" ht="15" customHeight="1">
      <c r="A40" s="129">
        <v>34</v>
      </c>
      <c r="B40" s="116" t="s">
        <v>217</v>
      </c>
      <c r="C40" s="87">
        <v>28</v>
      </c>
      <c r="D40" s="87">
        <v>126.06</v>
      </c>
      <c r="E40" s="87">
        <v>0</v>
      </c>
      <c r="F40" s="87">
        <v>0</v>
      </c>
      <c r="G40" s="88">
        <f t="shared" si="0"/>
        <v>0</v>
      </c>
      <c r="H40" s="87">
        <v>24</v>
      </c>
      <c r="I40" s="87">
        <v>97.75</v>
      </c>
      <c r="J40" s="87">
        <v>0</v>
      </c>
      <c r="K40" s="87">
        <v>0</v>
      </c>
      <c r="L40" s="131">
        <f t="shared" si="1"/>
        <v>0</v>
      </c>
      <c r="M40" s="305"/>
      <c r="N40" s="304"/>
      <c r="O40" s="304"/>
      <c r="P40" s="305"/>
      <c r="Q40" s="305"/>
      <c r="R40" s="305"/>
    </row>
    <row r="41" spans="1:18" ht="15" customHeight="1">
      <c r="A41" s="129">
        <v>35</v>
      </c>
      <c r="B41" s="116" t="s">
        <v>218</v>
      </c>
      <c r="C41" s="87">
        <v>672</v>
      </c>
      <c r="D41" s="87">
        <v>2736.89</v>
      </c>
      <c r="E41" s="87">
        <v>3225</v>
      </c>
      <c r="F41" s="87">
        <v>4785</v>
      </c>
      <c r="G41" s="88">
        <f t="shared" si="0"/>
        <v>174.83347887565816</v>
      </c>
      <c r="H41" s="87">
        <v>576</v>
      </c>
      <c r="I41" s="87">
        <v>2122.3200000000002</v>
      </c>
      <c r="J41" s="87">
        <v>3176</v>
      </c>
      <c r="K41" s="87">
        <v>4450</v>
      </c>
      <c r="L41" s="131">
        <f t="shared" si="1"/>
        <v>209.67620340005274</v>
      </c>
      <c r="M41" s="305"/>
      <c r="N41" s="304"/>
      <c r="O41" s="304"/>
      <c r="P41" s="305"/>
      <c r="Q41" s="305"/>
      <c r="R41" s="305"/>
    </row>
    <row r="42" spans="1:18" ht="15" customHeight="1">
      <c r="A42" s="129">
        <v>36</v>
      </c>
      <c r="B42" s="116" t="s">
        <v>71</v>
      </c>
      <c r="C42" s="87">
        <v>29526</v>
      </c>
      <c r="D42" s="87">
        <v>110428.58</v>
      </c>
      <c r="E42" s="87">
        <v>56434</v>
      </c>
      <c r="F42" s="87">
        <v>180431.74</v>
      </c>
      <c r="G42" s="88">
        <f t="shared" si="0"/>
        <v>163.3922486370829</v>
      </c>
      <c r="H42" s="87">
        <v>25301</v>
      </c>
      <c r="I42" s="87">
        <v>85631.24</v>
      </c>
      <c r="J42" s="87">
        <v>20981</v>
      </c>
      <c r="K42" s="87">
        <v>105409.60000000001</v>
      </c>
      <c r="L42" s="131">
        <f t="shared" si="1"/>
        <v>123.09713137401724</v>
      </c>
      <c r="M42" s="305"/>
      <c r="N42" s="304"/>
      <c r="O42" s="304"/>
      <c r="P42" s="305"/>
      <c r="Q42" s="305"/>
      <c r="R42" s="305"/>
    </row>
    <row r="43" spans="1:18" ht="15" customHeight="1">
      <c r="A43" s="129">
        <v>37</v>
      </c>
      <c r="B43" s="116" t="s">
        <v>72</v>
      </c>
      <c r="C43" s="87">
        <v>30885</v>
      </c>
      <c r="D43" s="87">
        <v>105493.41</v>
      </c>
      <c r="E43" s="87">
        <v>92422</v>
      </c>
      <c r="F43" s="87">
        <v>239240</v>
      </c>
      <c r="G43" s="88">
        <f t="shared" si="0"/>
        <v>226.78193832202408</v>
      </c>
      <c r="H43" s="87">
        <v>26466</v>
      </c>
      <c r="I43" s="87">
        <v>81804.3</v>
      </c>
      <c r="J43" s="87">
        <v>56030</v>
      </c>
      <c r="K43" s="87">
        <v>149577</v>
      </c>
      <c r="L43" s="131">
        <f t="shared" si="1"/>
        <v>182.84735643480843</v>
      </c>
      <c r="M43" s="305"/>
      <c r="N43" s="304"/>
      <c r="O43" s="304"/>
    </row>
    <row r="44" spans="1:18" ht="15" customHeight="1">
      <c r="A44" s="129">
        <v>38</v>
      </c>
      <c r="B44" s="116" t="s">
        <v>219</v>
      </c>
      <c r="C44" s="87">
        <v>0</v>
      </c>
      <c r="D44" s="87">
        <v>0</v>
      </c>
      <c r="E44" s="87">
        <v>67214</v>
      </c>
      <c r="F44" s="87">
        <v>13261.368</v>
      </c>
      <c r="G44" s="88">
        <v>0</v>
      </c>
      <c r="H44" s="87">
        <v>0</v>
      </c>
      <c r="I44" s="87">
        <v>0</v>
      </c>
      <c r="J44" s="87">
        <v>0</v>
      </c>
      <c r="K44" s="87">
        <v>0</v>
      </c>
      <c r="L44" s="131">
        <v>0</v>
      </c>
      <c r="M44" s="305"/>
      <c r="N44" s="304"/>
      <c r="O44" s="304"/>
    </row>
    <row r="45" spans="1:18" ht="15" customHeight="1">
      <c r="A45" s="129">
        <v>39</v>
      </c>
      <c r="B45" s="116" t="s">
        <v>220</v>
      </c>
      <c r="C45" s="87">
        <v>2517</v>
      </c>
      <c r="D45" s="87">
        <v>5912.73</v>
      </c>
      <c r="E45" s="87">
        <v>0</v>
      </c>
      <c r="F45" s="87">
        <v>0</v>
      </c>
      <c r="G45" s="88">
        <f t="shared" si="0"/>
        <v>0</v>
      </c>
      <c r="H45" s="87">
        <v>2157</v>
      </c>
      <c r="I45" s="87">
        <v>4585</v>
      </c>
      <c r="J45" s="87">
        <v>0</v>
      </c>
      <c r="K45" s="87">
        <v>0</v>
      </c>
      <c r="L45" s="131">
        <f t="shared" si="1"/>
        <v>0</v>
      </c>
      <c r="M45" s="305"/>
      <c r="N45" s="304"/>
      <c r="O45" s="304"/>
    </row>
    <row r="46" spans="1:18" ht="15" customHeight="1">
      <c r="A46" s="129">
        <v>40</v>
      </c>
      <c r="B46" s="116" t="s">
        <v>221</v>
      </c>
      <c r="C46" s="87">
        <v>74</v>
      </c>
      <c r="D46" s="87">
        <v>319.68</v>
      </c>
      <c r="E46" s="87">
        <v>0</v>
      </c>
      <c r="F46" s="87">
        <v>0</v>
      </c>
      <c r="G46" s="88">
        <f t="shared" si="0"/>
        <v>0</v>
      </c>
      <c r="H46" s="87">
        <v>63</v>
      </c>
      <c r="I46" s="87">
        <v>247.9</v>
      </c>
      <c r="J46" s="87">
        <v>0</v>
      </c>
      <c r="K46" s="87">
        <v>0</v>
      </c>
      <c r="L46" s="131">
        <f t="shared" si="1"/>
        <v>0</v>
      </c>
      <c r="M46" s="305"/>
      <c r="N46" s="304"/>
      <c r="O46" s="304"/>
    </row>
    <row r="47" spans="1:18" ht="15" customHeight="1">
      <c r="A47" s="129">
        <v>41</v>
      </c>
      <c r="B47" s="116" t="s">
        <v>222</v>
      </c>
      <c r="C47" s="87">
        <v>384</v>
      </c>
      <c r="D47" s="87">
        <v>1107.02</v>
      </c>
      <c r="E47" s="87">
        <v>1280</v>
      </c>
      <c r="F47" s="87">
        <v>7327.33</v>
      </c>
      <c r="G47" s="88">
        <f t="shared" si="0"/>
        <v>661.89680403244745</v>
      </c>
      <c r="H47" s="87">
        <v>329</v>
      </c>
      <c r="I47" s="87">
        <v>858.44</v>
      </c>
      <c r="J47" s="87">
        <v>16</v>
      </c>
      <c r="K47" s="87">
        <v>241.81</v>
      </c>
      <c r="L47" s="131">
        <f t="shared" si="1"/>
        <v>28.168538278738176</v>
      </c>
      <c r="M47" s="305"/>
      <c r="N47" s="304"/>
      <c r="O47" s="304"/>
    </row>
    <row r="48" spans="1:18" ht="15" customHeight="1">
      <c r="A48" s="129">
        <v>42</v>
      </c>
      <c r="B48" s="116" t="s">
        <v>223</v>
      </c>
      <c r="C48" s="87">
        <v>0</v>
      </c>
      <c r="D48" s="87">
        <v>0</v>
      </c>
      <c r="E48" s="87">
        <v>0</v>
      </c>
      <c r="F48" s="87">
        <v>0</v>
      </c>
      <c r="G48" s="88">
        <v>0</v>
      </c>
      <c r="H48" s="87">
        <v>0</v>
      </c>
      <c r="I48" s="87">
        <v>0</v>
      </c>
      <c r="J48" s="87">
        <v>0</v>
      </c>
      <c r="K48" s="87">
        <v>0</v>
      </c>
      <c r="L48" s="131">
        <v>0</v>
      </c>
      <c r="M48" s="305"/>
      <c r="N48" s="304"/>
      <c r="O48" s="304"/>
    </row>
    <row r="49" spans="1:15" ht="15" customHeight="1">
      <c r="A49" s="129">
        <v>43</v>
      </c>
      <c r="B49" s="122" t="s">
        <v>73</v>
      </c>
      <c r="C49" s="87">
        <v>4802</v>
      </c>
      <c r="D49" s="87">
        <v>19800.97</v>
      </c>
      <c r="E49" s="87">
        <v>18978</v>
      </c>
      <c r="F49" s="87">
        <v>29193</v>
      </c>
      <c r="G49" s="88">
        <f t="shared" si="0"/>
        <v>147.43217125221642</v>
      </c>
      <c r="H49" s="87">
        <v>4115</v>
      </c>
      <c r="I49" s="87">
        <v>15354.56</v>
      </c>
      <c r="J49" s="87">
        <v>382</v>
      </c>
      <c r="K49" s="87">
        <v>334</v>
      </c>
      <c r="L49" s="131">
        <f t="shared" si="1"/>
        <v>2.1752495675551757</v>
      </c>
      <c r="M49" s="305"/>
      <c r="N49" s="304"/>
      <c r="O49" s="304"/>
    </row>
    <row r="50" spans="1:15" ht="15" customHeight="1">
      <c r="A50" s="129">
        <v>44</v>
      </c>
      <c r="B50" s="116" t="s">
        <v>224</v>
      </c>
      <c r="C50" s="87">
        <v>0</v>
      </c>
      <c r="D50" s="87">
        <v>0</v>
      </c>
      <c r="E50" s="87">
        <v>0</v>
      </c>
      <c r="F50" s="87">
        <v>0</v>
      </c>
      <c r="G50" s="88">
        <v>0</v>
      </c>
      <c r="H50" s="87">
        <v>0</v>
      </c>
      <c r="I50" s="87">
        <v>0</v>
      </c>
      <c r="J50" s="87">
        <v>0</v>
      </c>
      <c r="K50" s="87">
        <v>0</v>
      </c>
      <c r="L50" s="131">
        <v>0</v>
      </c>
      <c r="M50" s="305"/>
      <c r="N50" s="304"/>
      <c r="O50" s="304"/>
    </row>
    <row r="51" spans="1:15" ht="15" customHeight="1">
      <c r="A51" s="129">
        <v>45</v>
      </c>
      <c r="B51" s="116" t="s">
        <v>225</v>
      </c>
      <c r="C51" s="87">
        <v>527</v>
      </c>
      <c r="D51" s="87">
        <v>1179.51</v>
      </c>
      <c r="E51" s="87">
        <v>12174</v>
      </c>
      <c r="F51" s="87">
        <v>16301</v>
      </c>
      <c r="G51" s="88">
        <f t="shared" si="0"/>
        <v>1382.0145653703657</v>
      </c>
      <c r="H51" s="87">
        <v>451</v>
      </c>
      <c r="I51" s="87">
        <v>914.64</v>
      </c>
      <c r="J51" s="87">
        <v>3044</v>
      </c>
      <c r="K51" s="87">
        <v>6229</v>
      </c>
      <c r="L51" s="131">
        <f t="shared" si="1"/>
        <v>681.03297472229508</v>
      </c>
      <c r="M51" s="305"/>
      <c r="N51" s="304"/>
      <c r="O51" s="304"/>
    </row>
    <row r="52" spans="1:15" ht="15" customHeight="1">
      <c r="A52" s="129">
        <v>46</v>
      </c>
      <c r="B52" s="116" t="s">
        <v>226</v>
      </c>
      <c r="C52" s="87">
        <v>28</v>
      </c>
      <c r="D52" s="87">
        <v>126.06</v>
      </c>
      <c r="E52" s="87">
        <v>0</v>
      </c>
      <c r="F52" s="87">
        <v>0</v>
      </c>
      <c r="G52" s="88">
        <f t="shared" si="0"/>
        <v>0</v>
      </c>
      <c r="H52" s="87">
        <v>24</v>
      </c>
      <c r="I52" s="87">
        <v>97.75</v>
      </c>
      <c r="J52" s="87">
        <v>0</v>
      </c>
      <c r="K52" s="87">
        <v>0</v>
      </c>
      <c r="L52" s="131">
        <f t="shared" si="1"/>
        <v>0</v>
      </c>
      <c r="M52" s="305"/>
      <c r="N52" s="304"/>
      <c r="O52" s="304"/>
    </row>
    <row r="53" spans="1:15" ht="15" customHeight="1">
      <c r="A53" s="129">
        <v>47</v>
      </c>
      <c r="B53" s="98" t="s">
        <v>77</v>
      </c>
      <c r="C53" s="87">
        <v>0</v>
      </c>
      <c r="D53" s="87">
        <v>0</v>
      </c>
      <c r="E53" s="87">
        <v>0</v>
      </c>
      <c r="F53" s="87">
        <v>0</v>
      </c>
      <c r="G53" s="88">
        <v>0</v>
      </c>
      <c r="H53" s="87">
        <v>0</v>
      </c>
      <c r="I53" s="87">
        <v>0</v>
      </c>
      <c r="J53" s="87">
        <v>0</v>
      </c>
      <c r="K53" s="87">
        <v>0</v>
      </c>
      <c r="L53" s="131">
        <v>0</v>
      </c>
      <c r="M53" s="305"/>
      <c r="N53" s="304"/>
      <c r="O53" s="304"/>
    </row>
    <row r="54" spans="1:15" ht="15" customHeight="1">
      <c r="A54" s="129">
        <v>48</v>
      </c>
      <c r="B54" s="98" t="s">
        <v>227</v>
      </c>
      <c r="C54" s="87">
        <v>0</v>
      </c>
      <c r="D54" s="87">
        <v>0</v>
      </c>
      <c r="E54" s="87">
        <v>0</v>
      </c>
      <c r="F54" s="87">
        <v>0</v>
      </c>
      <c r="G54" s="88">
        <v>0</v>
      </c>
      <c r="H54" s="87">
        <v>0</v>
      </c>
      <c r="I54" s="87">
        <v>0</v>
      </c>
      <c r="J54" s="87">
        <v>0</v>
      </c>
      <c r="K54" s="87">
        <v>0</v>
      </c>
      <c r="L54" s="131">
        <v>0</v>
      </c>
      <c r="M54" s="305"/>
      <c r="N54" s="304"/>
      <c r="O54" s="304"/>
    </row>
    <row r="55" spans="1:15" ht="15" customHeight="1">
      <c r="A55" s="129">
        <v>49</v>
      </c>
      <c r="B55" s="98" t="s">
        <v>76</v>
      </c>
      <c r="C55" s="87">
        <v>1199</v>
      </c>
      <c r="D55" s="87">
        <f>3197.06+715</f>
        <v>3912.06</v>
      </c>
      <c r="E55" s="87">
        <v>4414</v>
      </c>
      <c r="F55" s="87">
        <v>1251.73</v>
      </c>
      <c r="G55" s="88">
        <f t="shared" si="0"/>
        <v>31.996697392166787</v>
      </c>
      <c r="H55" s="87">
        <v>1028</v>
      </c>
      <c r="I55" s="87">
        <v>2479.14</v>
      </c>
      <c r="J55" s="87">
        <v>1</v>
      </c>
      <c r="K55" s="87">
        <v>132</v>
      </c>
      <c r="L55" s="131">
        <f t="shared" si="1"/>
        <v>5.3244270190469276</v>
      </c>
      <c r="M55" s="305"/>
      <c r="N55" s="304"/>
      <c r="O55" s="304"/>
    </row>
    <row r="56" spans="1:15" s="140" customFormat="1" ht="15">
      <c r="A56" s="132"/>
      <c r="B56" s="120" t="s">
        <v>287</v>
      </c>
      <c r="C56" s="92">
        <f>SUM(C34:C55)</f>
        <v>94610</v>
      </c>
      <c r="D56" s="92">
        <f t="shared" ref="D56:K56" si="3">SUM(D34:D55)</f>
        <v>317685.86</v>
      </c>
      <c r="E56" s="92">
        <f t="shared" si="3"/>
        <v>384685</v>
      </c>
      <c r="F56" s="92">
        <f t="shared" si="3"/>
        <v>594538.24800000002</v>
      </c>
      <c r="G56" s="88">
        <f t="shared" si="0"/>
        <v>187.14658814213516</v>
      </c>
      <c r="H56" s="92">
        <f t="shared" si="3"/>
        <v>81129</v>
      </c>
      <c r="I56" s="92">
        <f t="shared" si="3"/>
        <v>245779.56000000003</v>
      </c>
      <c r="J56" s="92">
        <f t="shared" si="3"/>
        <v>94409</v>
      </c>
      <c r="K56" s="92">
        <f t="shared" si="3"/>
        <v>309790.14</v>
      </c>
      <c r="L56" s="131">
        <f t="shared" si="1"/>
        <v>126.04389884984738</v>
      </c>
      <c r="M56" s="305"/>
      <c r="N56" s="304"/>
      <c r="O56" s="304"/>
    </row>
    <row r="57" spans="1:15" ht="15" customHeight="1">
      <c r="A57" s="129">
        <v>50</v>
      </c>
      <c r="B57" s="116" t="s">
        <v>46</v>
      </c>
      <c r="C57" s="87">
        <v>77034</v>
      </c>
      <c r="D57" s="87">
        <v>272593.48</v>
      </c>
      <c r="E57" s="87">
        <v>109599</v>
      </c>
      <c r="F57" s="87">
        <v>131954.81</v>
      </c>
      <c r="G57" s="88">
        <f t="shared" si="0"/>
        <v>48.407177603807696</v>
      </c>
      <c r="H57" s="87">
        <v>62516.029328722252</v>
      </c>
      <c r="I57" s="87">
        <v>204064.77</v>
      </c>
      <c r="J57" s="87">
        <v>108820</v>
      </c>
      <c r="K57" s="87">
        <v>130959.54</v>
      </c>
      <c r="L57" s="131">
        <f t="shared" si="1"/>
        <v>64.175477227156847</v>
      </c>
      <c r="M57" s="305"/>
      <c r="N57" s="304"/>
      <c r="O57" s="304"/>
    </row>
    <row r="58" spans="1:15" ht="15" customHeight="1">
      <c r="A58" s="129">
        <v>51</v>
      </c>
      <c r="B58" s="116" t="s">
        <v>228</v>
      </c>
      <c r="C58" s="87">
        <f>144402-1800</f>
        <v>142602</v>
      </c>
      <c r="D58" s="87">
        <f>257917.7+12000</f>
        <v>269917.7</v>
      </c>
      <c r="E58" s="87">
        <v>140050</v>
      </c>
      <c r="F58" s="87">
        <v>85671</v>
      </c>
      <c r="G58" s="88">
        <f t="shared" si="0"/>
        <v>31.739674723072994</v>
      </c>
      <c r="H58" s="87">
        <f>135669-12584</f>
        <v>123085</v>
      </c>
      <c r="I58" s="87">
        <v>228893.73</v>
      </c>
      <c r="J58" s="87">
        <v>139659</v>
      </c>
      <c r="K58" s="87">
        <v>85418</v>
      </c>
      <c r="L58" s="131">
        <f t="shared" si="1"/>
        <v>37.3177544006994</v>
      </c>
      <c r="M58" s="305"/>
      <c r="N58" s="304"/>
      <c r="O58" s="304"/>
    </row>
    <row r="59" spans="1:15" ht="15" customHeight="1">
      <c r="A59" s="129">
        <v>52</v>
      </c>
      <c r="B59" s="116" t="s">
        <v>52</v>
      </c>
      <c r="C59" s="87">
        <f>110333.042837079-1848</f>
        <v>108485.042837079</v>
      </c>
      <c r="D59" s="87">
        <f>400093.97+12037</f>
        <v>412130.97</v>
      </c>
      <c r="E59" s="87">
        <v>204542</v>
      </c>
      <c r="F59" s="87">
        <v>315428.13</v>
      </c>
      <c r="G59" s="88">
        <f t="shared" si="0"/>
        <v>76.535895858542261</v>
      </c>
      <c r="H59" s="87">
        <v>95573</v>
      </c>
      <c r="I59" s="87">
        <f>338748.6-31435</f>
        <v>307313.59999999998</v>
      </c>
      <c r="J59" s="87">
        <v>202814</v>
      </c>
      <c r="K59" s="87">
        <v>313086.95</v>
      </c>
      <c r="L59" s="131">
        <f t="shared" si="1"/>
        <v>101.87865099364298</v>
      </c>
      <c r="M59" s="305"/>
      <c r="N59" s="304"/>
      <c r="O59" s="304"/>
    </row>
    <row r="60" spans="1:15" s="146" customFormat="1" ht="15">
      <c r="A60" s="94"/>
      <c r="B60" s="105" t="s">
        <v>293</v>
      </c>
      <c r="C60" s="95">
        <f>SUM(C57:C59)</f>
        <v>328121.04283707903</v>
      </c>
      <c r="D60" s="95">
        <f t="shared" ref="D60:K60" si="4">SUM(D57:D59)</f>
        <v>954642.14999999991</v>
      </c>
      <c r="E60" s="95">
        <f t="shared" si="4"/>
        <v>454191</v>
      </c>
      <c r="F60" s="95">
        <f t="shared" si="4"/>
        <v>533053.93999999994</v>
      </c>
      <c r="G60" s="88">
        <f t="shared" si="0"/>
        <v>55.838089696751815</v>
      </c>
      <c r="H60" s="95">
        <f t="shared" si="4"/>
        <v>281174.02932872227</v>
      </c>
      <c r="I60" s="95">
        <f t="shared" si="4"/>
        <v>740272.1</v>
      </c>
      <c r="J60" s="95">
        <f t="shared" si="4"/>
        <v>451293</v>
      </c>
      <c r="K60" s="95">
        <f t="shared" si="4"/>
        <v>529464.49</v>
      </c>
      <c r="L60" s="131">
        <f t="shared" si="1"/>
        <v>71.52295622109763</v>
      </c>
      <c r="M60" s="305"/>
      <c r="N60" s="304"/>
      <c r="O60" s="304"/>
    </row>
    <row r="61" spans="1:15" ht="15">
      <c r="A61" s="129">
        <v>53</v>
      </c>
      <c r="B61" s="98" t="s">
        <v>288</v>
      </c>
      <c r="C61" s="87">
        <v>2226000</v>
      </c>
      <c r="D61" s="87">
        <v>1996110.99</v>
      </c>
      <c r="E61" s="87">
        <v>774908</v>
      </c>
      <c r="F61" s="87">
        <v>1990102</v>
      </c>
      <c r="G61" s="88">
        <f t="shared" si="0"/>
        <v>99.698965136202176</v>
      </c>
      <c r="H61" s="87">
        <v>582311</v>
      </c>
      <c r="I61" s="87">
        <v>1512286.55</v>
      </c>
      <c r="J61" s="143">
        <v>1925000</v>
      </c>
      <c r="K61" s="87">
        <v>1691586.7</v>
      </c>
      <c r="L61" s="376">
        <f t="shared" si="1"/>
        <v>111.85622856990958</v>
      </c>
      <c r="M61" s="305"/>
      <c r="N61" s="304"/>
      <c r="O61" s="304"/>
    </row>
    <row r="62" spans="1:15" s="140" customFormat="1" ht="15">
      <c r="A62" s="132"/>
      <c r="B62" s="105" t="s">
        <v>289</v>
      </c>
      <c r="C62" s="92">
        <f>C61</f>
        <v>2226000</v>
      </c>
      <c r="D62" s="92">
        <f t="shared" ref="D62:K62" si="5">D61</f>
        <v>1996110.99</v>
      </c>
      <c r="E62" s="92">
        <f t="shared" si="5"/>
        <v>774908</v>
      </c>
      <c r="F62" s="92">
        <f t="shared" si="5"/>
        <v>1990102</v>
      </c>
      <c r="G62" s="88">
        <f t="shared" si="0"/>
        <v>99.698965136202176</v>
      </c>
      <c r="H62" s="92">
        <f t="shared" si="5"/>
        <v>582311</v>
      </c>
      <c r="I62" s="92">
        <f t="shared" si="5"/>
        <v>1512286.55</v>
      </c>
      <c r="J62" s="92">
        <f t="shared" si="5"/>
        <v>1925000</v>
      </c>
      <c r="K62" s="92">
        <f t="shared" si="5"/>
        <v>1691586.7</v>
      </c>
      <c r="L62" s="376">
        <f t="shared" si="1"/>
        <v>111.85622856990958</v>
      </c>
      <c r="M62" s="305"/>
      <c r="N62" s="304"/>
      <c r="O62" s="304"/>
    </row>
    <row r="63" spans="1:15" s="140" customFormat="1" ht="15">
      <c r="A63" s="132"/>
      <c r="B63" s="105" t="s">
        <v>290</v>
      </c>
      <c r="C63" s="92">
        <f>C62+C60+C56+C33</f>
        <v>4040985.0428370791</v>
      </c>
      <c r="D63" s="92">
        <f t="shared" ref="D63:K63" si="6">D62+D60+D56+D33</f>
        <v>7592695.2599999998</v>
      </c>
      <c r="E63" s="92">
        <f t="shared" si="6"/>
        <v>3766354</v>
      </c>
      <c r="F63" s="92">
        <f t="shared" si="6"/>
        <v>6007697.9680000003</v>
      </c>
      <c r="G63" s="88">
        <f t="shared" si="0"/>
        <v>79.124708186958117</v>
      </c>
      <c r="H63" s="92">
        <f t="shared" si="6"/>
        <v>2137653.0293287225</v>
      </c>
      <c r="I63" s="92">
        <f t="shared" si="6"/>
        <v>5852094.25</v>
      </c>
      <c r="J63" s="92">
        <f t="shared" si="6"/>
        <v>4436535</v>
      </c>
      <c r="K63" s="92">
        <f t="shared" si="6"/>
        <v>5003362.2</v>
      </c>
      <c r="L63" s="131">
        <f t="shared" si="1"/>
        <v>85.496951796359056</v>
      </c>
      <c r="M63" s="305"/>
      <c r="N63" s="304"/>
      <c r="O63" s="304"/>
    </row>
    <row r="64" spans="1:15">
      <c r="C64" s="143" t="s">
        <v>775</v>
      </c>
    </row>
    <row r="65" spans="10:11">
      <c r="K65" s="143">
        <f>K63-K62</f>
        <v>3311775.5</v>
      </c>
    </row>
    <row r="66" spans="10:11">
      <c r="J66" s="145">
        <f>J62*100/J63</f>
        <v>43.389717425874018</v>
      </c>
      <c r="K66" s="143">
        <f>K65*4%</f>
        <v>132471.01999999999</v>
      </c>
    </row>
  </sheetData>
  <autoFilter ref="A3:L64">
    <filterColumn colId="2" showButton="0"/>
    <filterColumn colId="3" showButton="0"/>
    <filterColumn colId="4" showButton="0"/>
    <filterColumn colId="7" showButton="0"/>
    <filterColumn colId="8" showButton="0"/>
    <filterColumn colId="9" showButton="0"/>
  </autoFilter>
  <sortState ref="B8:L32">
    <sortCondition ref="B6:B32"/>
  </sortState>
  <mergeCells count="11">
    <mergeCell ref="B3:B5"/>
    <mergeCell ref="A1:L1"/>
    <mergeCell ref="H4:I4"/>
    <mergeCell ref="G3:G5"/>
    <mergeCell ref="E4:F4"/>
    <mergeCell ref="J4:K4"/>
    <mergeCell ref="A3:A5"/>
    <mergeCell ref="L3:L5"/>
    <mergeCell ref="C3:F3"/>
    <mergeCell ref="C4:D4"/>
    <mergeCell ref="H3:K3"/>
  </mergeCells>
  <conditionalFormatting sqref="F16 H16:I16">
    <cfRule type="duplicateValues" dxfId="152" priority="8"/>
  </conditionalFormatting>
  <conditionalFormatting sqref="B6">
    <cfRule type="duplicateValues" dxfId="151" priority="9"/>
  </conditionalFormatting>
  <conditionalFormatting sqref="B26">
    <cfRule type="duplicateValues" dxfId="150" priority="10"/>
  </conditionalFormatting>
  <conditionalFormatting sqref="L2:L3 L6:L65540">
    <cfRule type="cellIs" dxfId="149" priority="7" stopIfTrue="1" operator="greaterThan">
      <formula>50</formula>
    </cfRule>
  </conditionalFormatting>
  <conditionalFormatting sqref="B32:B33 B27:B29 B25">
    <cfRule type="duplicateValues" dxfId="148" priority="117"/>
  </conditionalFormatting>
  <conditionalFormatting sqref="B52">
    <cfRule type="duplicateValues" dxfId="147" priority="6"/>
  </conditionalFormatting>
  <conditionalFormatting sqref="B56">
    <cfRule type="duplicateValues" dxfId="146" priority="5"/>
  </conditionalFormatting>
  <conditionalFormatting sqref="B58">
    <cfRule type="duplicateValues" dxfId="145" priority="4"/>
  </conditionalFormatting>
  <conditionalFormatting sqref="N1:N1048576">
    <cfRule type="cellIs" dxfId="144" priority="1" operator="lessThan">
      <formula>0</formula>
    </cfRule>
    <cfRule type="cellIs" dxfId="143" priority="2" operator="lessThan">
      <formula>0</formula>
    </cfRule>
    <cfRule type="cellIs" dxfId="142" priority="3" operator="lessThan">
      <formula>0</formula>
    </cfRule>
  </conditionalFormatting>
  <pageMargins left="0.75" right="0.25" top="0.25" bottom="0.25" header="0.05" footer="0.3"/>
  <pageSetup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68"/>
  <sheetViews>
    <sheetView zoomScaleNormal="100" workbookViewId="0">
      <pane xSplit="2" ySplit="5" topLeftCell="E45" activePane="bottomRight" state="frozen"/>
      <selection pane="topRight" activeCell="C1" sqref="C1"/>
      <selection pane="bottomLeft" activeCell="A6" sqref="A6"/>
      <selection pane="bottomRight" activeCell="R61" sqref="R61"/>
    </sheetView>
  </sheetViews>
  <sheetFormatPr defaultColWidth="4.42578125" defaultRowHeight="13.5"/>
  <cols>
    <col min="1" max="1" width="4.42578125" style="61"/>
    <col min="2" max="2" width="24.85546875" style="61" customWidth="1"/>
    <col min="3" max="3" width="8.5703125" style="110" customWidth="1"/>
    <col min="4" max="4" width="10.140625" style="110" bestFit="1" customWidth="1"/>
    <col min="5" max="5" width="8.7109375" style="110" bestFit="1" customWidth="1"/>
    <col min="6" max="6" width="12" style="110" bestFit="1" customWidth="1"/>
    <col min="7" max="7" width="9.28515625" style="108" customWidth="1"/>
    <col min="8" max="8" width="8.7109375" style="110" bestFit="1" customWidth="1"/>
    <col min="9" max="9" width="11.5703125" style="110" customWidth="1"/>
    <col min="10" max="10" width="10.140625" style="110" bestFit="1" customWidth="1"/>
    <col min="11" max="11" width="10.5703125" style="110" bestFit="1" customWidth="1"/>
    <col min="12" max="12" width="11.5703125" style="108" customWidth="1"/>
    <col min="13" max="13" width="11.28515625" style="110" bestFit="1" customWidth="1"/>
    <col min="14" max="14" width="11.85546875" style="110" bestFit="1" customWidth="1"/>
    <col min="15" max="15" width="10.85546875" style="110" bestFit="1" customWidth="1"/>
    <col min="16" max="16" width="11.5703125" style="110" bestFit="1" customWidth="1"/>
    <col min="17" max="17" width="9.140625" style="108" customWidth="1"/>
    <col min="18" max="18" width="8.5703125" style="110" bestFit="1" customWidth="1"/>
    <col min="19" max="19" width="4.42578125" style="61"/>
    <col min="20" max="20" width="6" style="61" bestFit="1" customWidth="1"/>
    <col min="21" max="16384" width="4.42578125" style="61"/>
  </cols>
  <sheetData>
    <row r="1" spans="1:20" ht="15" customHeight="1">
      <c r="A1" s="593" t="s">
        <v>760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</row>
    <row r="2" spans="1:20" ht="15" customHeight="1">
      <c r="B2" s="107" t="s">
        <v>134</v>
      </c>
      <c r="C2" s="111"/>
      <c r="D2" s="111"/>
      <c r="F2" s="110" t="s">
        <v>143</v>
      </c>
      <c r="I2" s="111" t="s">
        <v>164</v>
      </c>
      <c r="J2" s="111"/>
      <c r="K2" s="111"/>
      <c r="L2" s="289"/>
      <c r="M2" s="111"/>
      <c r="N2" s="111"/>
    </row>
    <row r="3" spans="1:20" ht="35.1" customHeight="1">
      <c r="A3" s="594" t="s">
        <v>120</v>
      </c>
      <c r="B3" s="594" t="s">
        <v>100</v>
      </c>
      <c r="C3" s="594" t="s">
        <v>161</v>
      </c>
      <c r="D3" s="594"/>
      <c r="E3" s="594"/>
      <c r="F3" s="594"/>
      <c r="G3" s="594"/>
      <c r="H3" s="594" t="s">
        <v>162</v>
      </c>
      <c r="I3" s="594"/>
      <c r="J3" s="594"/>
      <c r="K3" s="594"/>
      <c r="L3" s="594"/>
      <c r="M3" s="619" t="s">
        <v>163</v>
      </c>
      <c r="N3" s="620"/>
      <c r="O3" s="620"/>
      <c r="P3" s="620"/>
      <c r="Q3" s="621"/>
      <c r="R3" s="319"/>
    </row>
    <row r="4" spans="1:20" ht="24.95" customHeight="1">
      <c r="A4" s="594"/>
      <c r="B4" s="594"/>
      <c r="C4" s="595" t="s">
        <v>21</v>
      </c>
      <c r="D4" s="595"/>
      <c r="E4" s="595" t="s">
        <v>160</v>
      </c>
      <c r="F4" s="595"/>
      <c r="G4" s="592" t="s">
        <v>158</v>
      </c>
      <c r="H4" s="595" t="s">
        <v>21</v>
      </c>
      <c r="I4" s="595"/>
      <c r="J4" s="595" t="s">
        <v>160</v>
      </c>
      <c r="K4" s="595"/>
      <c r="L4" s="592" t="s">
        <v>158</v>
      </c>
      <c r="M4" s="595" t="s">
        <v>21</v>
      </c>
      <c r="N4" s="595"/>
      <c r="O4" s="595" t="s">
        <v>160</v>
      </c>
      <c r="P4" s="595"/>
      <c r="Q4" s="592" t="s">
        <v>158</v>
      </c>
      <c r="R4" s="319"/>
    </row>
    <row r="5" spans="1:20" ht="15" customHeight="1">
      <c r="A5" s="594"/>
      <c r="B5" s="594"/>
      <c r="C5" s="295" t="s">
        <v>30</v>
      </c>
      <c r="D5" s="295" t="s">
        <v>17</v>
      </c>
      <c r="E5" s="295" t="s">
        <v>30</v>
      </c>
      <c r="F5" s="295" t="s">
        <v>17</v>
      </c>
      <c r="G5" s="592"/>
      <c r="H5" s="295" t="s">
        <v>30</v>
      </c>
      <c r="I5" s="295" t="s">
        <v>17</v>
      </c>
      <c r="J5" s="295" t="s">
        <v>30</v>
      </c>
      <c r="K5" s="295" t="s">
        <v>17</v>
      </c>
      <c r="L5" s="592"/>
      <c r="M5" s="295" t="s">
        <v>30</v>
      </c>
      <c r="N5" s="295" t="s">
        <v>17</v>
      </c>
      <c r="O5" s="295" t="s">
        <v>30</v>
      </c>
      <c r="P5" s="295" t="s">
        <v>17</v>
      </c>
      <c r="Q5" s="592"/>
      <c r="R5" s="319"/>
    </row>
    <row r="6" spans="1:20">
      <c r="A6" s="57">
        <v>1</v>
      </c>
      <c r="B6" s="97" t="s">
        <v>55</v>
      </c>
      <c r="C6" s="98">
        <v>1520</v>
      </c>
      <c r="D6" s="98">
        <v>5556</v>
      </c>
      <c r="E6" s="98">
        <v>213</v>
      </c>
      <c r="F6" s="98">
        <v>497</v>
      </c>
      <c r="G6" s="99">
        <f>F6*100/D6</f>
        <v>8.9452843772498198</v>
      </c>
      <c r="H6" s="98">
        <v>4048</v>
      </c>
      <c r="I6" s="98">
        <v>3227</v>
      </c>
      <c r="J6" s="98">
        <v>2367</v>
      </c>
      <c r="K6" s="98">
        <v>1604</v>
      </c>
      <c r="L6" s="99">
        <f>K6*100/I6</f>
        <v>49.705608924697863</v>
      </c>
      <c r="M6" s="98">
        <f>H6+C6+'ACP_Agri_9(i)'!C6</f>
        <v>59642</v>
      </c>
      <c r="N6" s="98">
        <f>I6+D6+'ACP_Agri_9(i)'!D6</f>
        <v>141080.06</v>
      </c>
      <c r="O6" s="98">
        <f>J6+E6+'ACP_Agri_9(i)'!E6</f>
        <v>51144</v>
      </c>
      <c r="P6" s="98">
        <f>K6+F6+'ACP_Agri_9(i)'!F6</f>
        <v>130755</v>
      </c>
      <c r="Q6" s="99">
        <f>P6*100/N6</f>
        <v>92.681417912637684</v>
      </c>
      <c r="T6" s="110"/>
    </row>
    <row r="7" spans="1:20">
      <c r="A7" s="57">
        <v>2</v>
      </c>
      <c r="B7" s="97" t="s">
        <v>56</v>
      </c>
      <c r="C7" s="98">
        <v>34</v>
      </c>
      <c r="D7" s="98">
        <v>138</v>
      </c>
      <c r="E7" s="98">
        <v>0</v>
      </c>
      <c r="F7" s="98">
        <v>0</v>
      </c>
      <c r="G7" s="99">
        <f t="shared" ref="G7:G63" si="0">F7*100/D7</f>
        <v>0</v>
      </c>
      <c r="H7" s="98">
        <v>24</v>
      </c>
      <c r="I7" s="98">
        <v>80</v>
      </c>
      <c r="J7" s="98">
        <v>25</v>
      </c>
      <c r="K7" s="98">
        <v>1949.51</v>
      </c>
      <c r="L7" s="99">
        <f t="shared" ref="L7:L63" si="1">K7*100/I7</f>
        <v>2436.8874999999998</v>
      </c>
      <c r="M7" s="98">
        <f>H7+C7+'ACP_Agri_9(i)'!C7</f>
        <v>1222</v>
      </c>
      <c r="N7" s="98">
        <f>I7+D7+'ACP_Agri_9(i)'!D7</f>
        <v>3493.33</v>
      </c>
      <c r="O7" s="98">
        <f>J7+E7+'ACP_Agri_9(i)'!E7</f>
        <v>1575</v>
      </c>
      <c r="P7" s="98">
        <f>K7+F7+'ACP_Agri_9(i)'!F7</f>
        <v>7467.42</v>
      </c>
      <c r="Q7" s="99">
        <f t="shared" ref="Q7:Q63" si="2">P7*100/N7</f>
        <v>213.76222687235389</v>
      </c>
      <c r="T7" s="110"/>
    </row>
    <row r="8" spans="1:20">
      <c r="A8" s="57">
        <v>3</v>
      </c>
      <c r="B8" s="97" t="s">
        <v>57</v>
      </c>
      <c r="C8" s="98">
        <v>1022</v>
      </c>
      <c r="D8" s="98">
        <v>4656</v>
      </c>
      <c r="E8" s="98">
        <v>3011</v>
      </c>
      <c r="F8" s="98">
        <v>13945</v>
      </c>
      <c r="G8" s="99">
        <f t="shared" si="0"/>
        <v>299.50601374570448</v>
      </c>
      <c r="H8" s="98">
        <v>704</v>
      </c>
      <c r="I8" s="98">
        <v>2704</v>
      </c>
      <c r="J8" s="98">
        <v>998</v>
      </c>
      <c r="K8" s="98">
        <v>2956</v>
      </c>
      <c r="L8" s="99">
        <f t="shared" si="1"/>
        <v>109.31952662721893</v>
      </c>
      <c r="M8" s="98">
        <f>H8+C8+'ACP_Agri_9(i)'!C8</f>
        <v>38048</v>
      </c>
      <c r="N8" s="98">
        <f>I8+D8+'ACP_Agri_9(i)'!D8</f>
        <v>118221.54</v>
      </c>
      <c r="O8" s="98">
        <f>J8+E8+'ACP_Agri_9(i)'!E8</f>
        <v>33476</v>
      </c>
      <c r="P8" s="98">
        <f>K8+F8+'ACP_Agri_9(i)'!F8</f>
        <v>123853</v>
      </c>
      <c r="Q8" s="99">
        <f t="shared" si="2"/>
        <v>104.76348049602467</v>
      </c>
      <c r="T8" s="110"/>
    </row>
    <row r="9" spans="1:20">
      <c r="A9" s="57">
        <v>4</v>
      </c>
      <c r="B9" s="97" t="s">
        <v>58</v>
      </c>
      <c r="C9" s="98">
        <v>5162</v>
      </c>
      <c r="D9" s="98">
        <v>28477</v>
      </c>
      <c r="E9" s="98">
        <v>13305</v>
      </c>
      <c r="F9" s="98">
        <v>22142</v>
      </c>
      <c r="G9" s="99">
        <f t="shared" si="0"/>
        <v>77.753976893633464</v>
      </c>
      <c r="H9" s="98">
        <v>3558</v>
      </c>
      <c r="I9" s="98">
        <v>16541</v>
      </c>
      <c r="J9" s="98">
        <v>19542</v>
      </c>
      <c r="K9" s="98">
        <v>30312</v>
      </c>
      <c r="L9" s="99">
        <f t="shared" si="1"/>
        <v>183.25373314793543</v>
      </c>
      <c r="M9" s="98">
        <f>H9+C9+'ACP_Agri_9(i)'!C9</f>
        <v>192320</v>
      </c>
      <c r="N9" s="98">
        <f>I9+D9+'ACP_Agri_9(i)'!D9</f>
        <v>723077.37</v>
      </c>
      <c r="O9" s="98">
        <f>J9+E9+'ACP_Agri_9(i)'!E9</f>
        <v>1233993</v>
      </c>
      <c r="P9" s="98">
        <f>K9+F9+'ACP_Agri_9(i)'!F9</f>
        <v>656413</v>
      </c>
      <c r="Q9" s="99">
        <f t="shared" si="2"/>
        <v>90.780465166542271</v>
      </c>
      <c r="T9" s="110"/>
    </row>
    <row r="10" spans="1:20">
      <c r="A10" s="57">
        <v>5</v>
      </c>
      <c r="B10" s="97" t="s">
        <v>59</v>
      </c>
      <c r="C10" s="98">
        <v>1098</v>
      </c>
      <c r="D10" s="98">
        <v>4774</v>
      </c>
      <c r="E10" s="98">
        <v>270</v>
      </c>
      <c r="F10" s="98">
        <v>4413.83</v>
      </c>
      <c r="G10" s="99">
        <f t="shared" si="0"/>
        <v>92.455592794302476</v>
      </c>
      <c r="H10" s="98">
        <v>757</v>
      </c>
      <c r="I10" s="98">
        <v>2773</v>
      </c>
      <c r="J10" s="98">
        <v>718</v>
      </c>
      <c r="K10" s="98">
        <v>2997.58</v>
      </c>
      <c r="L10" s="99">
        <f t="shared" si="1"/>
        <v>108.09880995311937</v>
      </c>
      <c r="M10" s="98">
        <f>H10+C10+'ACP_Agri_9(i)'!C10</f>
        <v>40939</v>
      </c>
      <c r="N10" s="98">
        <f>I10+D10+'ACP_Agri_9(i)'!D10</f>
        <v>121210.74</v>
      </c>
      <c r="O10" s="98">
        <f>J10+E10+'ACP_Agri_9(i)'!E10</f>
        <v>41005</v>
      </c>
      <c r="P10" s="98">
        <f>K10+F10+'ACP_Agri_9(i)'!F10</f>
        <v>57268.289999999994</v>
      </c>
      <c r="Q10" s="99">
        <f t="shared" si="2"/>
        <v>47.246877628170566</v>
      </c>
      <c r="T10" s="110"/>
    </row>
    <row r="11" spans="1:20">
      <c r="A11" s="57">
        <v>6</v>
      </c>
      <c r="B11" s="100" t="s">
        <v>241</v>
      </c>
      <c r="C11" s="98">
        <v>15</v>
      </c>
      <c r="D11" s="98">
        <v>25</v>
      </c>
      <c r="E11" s="98">
        <v>0</v>
      </c>
      <c r="F11" s="98">
        <v>0</v>
      </c>
      <c r="G11" s="99">
        <f t="shared" si="0"/>
        <v>0</v>
      </c>
      <c r="H11" s="98">
        <v>0</v>
      </c>
      <c r="I11" s="98">
        <v>0</v>
      </c>
      <c r="J11" s="98">
        <v>0</v>
      </c>
      <c r="K11" s="98">
        <v>0</v>
      </c>
      <c r="L11" s="99">
        <v>0</v>
      </c>
      <c r="M11" s="98">
        <f>H11+C11+'ACP_Agri_9(i)'!C11</f>
        <v>30</v>
      </c>
      <c r="N11" s="98">
        <v>48</v>
      </c>
      <c r="O11" s="98">
        <f>J11+E11+'ACP_Agri_9(i)'!E11</f>
        <v>0</v>
      </c>
      <c r="P11" s="98">
        <f>K11+F11+'ACP_Agri_9(i)'!F11</f>
        <v>0</v>
      </c>
      <c r="Q11" s="99">
        <f t="shared" si="2"/>
        <v>0</v>
      </c>
      <c r="T11" s="110"/>
    </row>
    <row r="12" spans="1:20">
      <c r="A12" s="57">
        <v>7</v>
      </c>
      <c r="B12" s="97" t="s">
        <v>60</v>
      </c>
      <c r="C12" s="98">
        <v>594</v>
      </c>
      <c r="D12" s="98">
        <v>2372</v>
      </c>
      <c r="E12" s="98">
        <v>0</v>
      </c>
      <c r="F12" s="98">
        <v>0</v>
      </c>
      <c r="G12" s="99">
        <f t="shared" si="0"/>
        <v>0</v>
      </c>
      <c r="H12" s="98">
        <v>410</v>
      </c>
      <c r="I12" s="98">
        <v>1378</v>
      </c>
      <c r="J12" s="98">
        <v>8</v>
      </c>
      <c r="K12" s="98">
        <v>24</v>
      </c>
      <c r="L12" s="99">
        <f t="shared" si="1"/>
        <v>1.741654571843251</v>
      </c>
      <c r="M12" s="98">
        <f>H12+C12+'ACP_Agri_9(i)'!C12</f>
        <v>22139</v>
      </c>
      <c r="N12" s="98">
        <f>I12+D12+'ACP_Agri_9(i)'!D12</f>
        <v>60236.68</v>
      </c>
      <c r="O12" s="98">
        <f>J12+E12+'ACP_Agri_9(i)'!E12</f>
        <v>11561</v>
      </c>
      <c r="P12" s="98">
        <f>K12+F12+'ACP_Agri_9(i)'!F12</f>
        <v>70530</v>
      </c>
      <c r="Q12" s="99">
        <f t="shared" si="2"/>
        <v>117.08812637084249</v>
      </c>
      <c r="T12" s="110"/>
    </row>
    <row r="13" spans="1:20">
      <c r="A13" s="57">
        <v>8</v>
      </c>
      <c r="B13" s="97" t="s">
        <v>61</v>
      </c>
      <c r="C13" s="98">
        <v>5520</v>
      </c>
      <c r="D13" s="98">
        <v>23705</v>
      </c>
      <c r="E13" s="98">
        <v>257</v>
      </c>
      <c r="F13" s="98">
        <v>11782</v>
      </c>
      <c r="G13" s="99">
        <f t="shared" si="0"/>
        <v>49.702594389369331</v>
      </c>
      <c r="H13" s="98">
        <v>3805</v>
      </c>
      <c r="I13" s="98">
        <v>13769</v>
      </c>
      <c r="J13" s="98">
        <v>1972</v>
      </c>
      <c r="K13" s="98">
        <v>10167</v>
      </c>
      <c r="L13" s="99">
        <f t="shared" si="1"/>
        <v>73.839785024330013</v>
      </c>
      <c r="M13" s="98">
        <f>H13+C13+'ACP_Agri_9(i)'!C13</f>
        <v>205684</v>
      </c>
      <c r="N13" s="98">
        <f>I13+D13+'ACP_Agri_9(i)'!D13</f>
        <v>601908.85</v>
      </c>
      <c r="O13" s="98">
        <f>J13+E13+'ACP_Agri_9(i)'!E13</f>
        <v>170493</v>
      </c>
      <c r="P13" s="98">
        <f>K13+F13+'ACP_Agri_9(i)'!F13</f>
        <v>459637</v>
      </c>
      <c r="Q13" s="99">
        <f t="shared" si="2"/>
        <v>76.363223434910452</v>
      </c>
      <c r="T13" s="110"/>
    </row>
    <row r="14" spans="1:20">
      <c r="A14" s="57">
        <v>9</v>
      </c>
      <c r="B14" s="97" t="s">
        <v>48</v>
      </c>
      <c r="C14" s="98">
        <v>120</v>
      </c>
      <c r="D14" s="98">
        <v>586</v>
      </c>
      <c r="E14" s="98">
        <v>0</v>
      </c>
      <c r="F14" s="98">
        <v>0</v>
      </c>
      <c r="G14" s="99">
        <f t="shared" si="0"/>
        <v>0</v>
      </c>
      <c r="H14" s="98">
        <v>84</v>
      </c>
      <c r="I14" s="98">
        <v>341</v>
      </c>
      <c r="J14" s="98">
        <v>0</v>
      </c>
      <c r="K14" s="98">
        <v>0</v>
      </c>
      <c r="L14" s="99">
        <f t="shared" si="1"/>
        <v>0</v>
      </c>
      <c r="M14" s="98">
        <f>H14+C14+'ACP_Agri_9(i)'!C14</f>
        <v>4515</v>
      </c>
      <c r="N14" s="98">
        <f>I14+D14+'ACP_Agri_9(i)'!D14</f>
        <v>14890.1</v>
      </c>
      <c r="O14" s="98">
        <f>J14+E14+'ACP_Agri_9(i)'!E14</f>
        <v>4505</v>
      </c>
      <c r="P14" s="98">
        <f>K14+F14+'ACP_Agri_9(i)'!F14</f>
        <v>12510</v>
      </c>
      <c r="Q14" s="99">
        <f t="shared" si="2"/>
        <v>84.015553958670523</v>
      </c>
      <c r="T14" s="110"/>
    </row>
    <row r="15" spans="1:20">
      <c r="A15" s="57">
        <v>10</v>
      </c>
      <c r="B15" s="97" t="s">
        <v>49</v>
      </c>
      <c r="C15" s="98">
        <v>318</v>
      </c>
      <c r="D15" s="98">
        <v>1650</v>
      </c>
      <c r="E15" s="98">
        <v>18</v>
      </c>
      <c r="F15" s="98">
        <v>48</v>
      </c>
      <c r="G15" s="99">
        <f t="shared" si="0"/>
        <v>2.9090909090909092</v>
      </c>
      <c r="H15" s="98">
        <v>220</v>
      </c>
      <c r="I15" s="98">
        <v>958</v>
      </c>
      <c r="J15" s="98">
        <v>7</v>
      </c>
      <c r="K15" s="98">
        <v>119</v>
      </c>
      <c r="L15" s="99">
        <f t="shared" si="1"/>
        <v>12.421711899791232</v>
      </c>
      <c r="M15" s="98">
        <f>H15+C15+'ACP_Agri_9(i)'!C15</f>
        <v>11882</v>
      </c>
      <c r="N15" s="98">
        <f>I15+D15+'ACP_Agri_9(i)'!D15</f>
        <v>41885.339999999997</v>
      </c>
      <c r="O15" s="98">
        <f>J15+E15+'ACP_Agri_9(i)'!E15</f>
        <v>7866</v>
      </c>
      <c r="P15" s="98">
        <f>K15+F15+'ACP_Agri_9(i)'!F15</f>
        <v>13845</v>
      </c>
      <c r="Q15" s="99">
        <f t="shared" si="2"/>
        <v>33.054524566351859</v>
      </c>
      <c r="T15" s="110"/>
    </row>
    <row r="16" spans="1:20">
      <c r="A16" s="57">
        <v>11</v>
      </c>
      <c r="B16" s="97" t="s">
        <v>81</v>
      </c>
      <c r="C16" s="98">
        <v>215</v>
      </c>
      <c r="D16" s="98">
        <v>961</v>
      </c>
      <c r="E16" s="98">
        <v>33</v>
      </c>
      <c r="F16" s="98">
        <v>1375</v>
      </c>
      <c r="G16" s="99">
        <f t="shared" si="0"/>
        <v>143.08012486992715</v>
      </c>
      <c r="H16" s="98">
        <v>148</v>
      </c>
      <c r="I16" s="98">
        <v>558</v>
      </c>
      <c r="J16" s="98">
        <v>107</v>
      </c>
      <c r="K16" s="98">
        <v>1206</v>
      </c>
      <c r="L16" s="99">
        <f t="shared" si="1"/>
        <v>216.12903225806451</v>
      </c>
      <c r="M16" s="98">
        <f>H16+C16+'ACP_Agri_9(i)'!C16</f>
        <v>7993</v>
      </c>
      <c r="N16" s="98">
        <f>I16+D16+'ACP_Agri_9(i)'!D16</f>
        <v>24411.94</v>
      </c>
      <c r="O16" s="98">
        <f>J16+E16+'ACP_Agri_9(i)'!E16</f>
        <v>15432</v>
      </c>
      <c r="P16" s="98">
        <f>K16+F16+'ACP_Agri_9(i)'!F16</f>
        <v>40248</v>
      </c>
      <c r="Q16" s="99">
        <f t="shared" si="2"/>
        <v>164.87014141440625</v>
      </c>
      <c r="T16" s="110"/>
    </row>
    <row r="17" spans="1:20">
      <c r="A17" s="57">
        <v>12</v>
      </c>
      <c r="B17" s="97" t="s">
        <v>62</v>
      </c>
      <c r="C17" s="98">
        <v>94</v>
      </c>
      <c r="D17" s="98">
        <v>472</v>
      </c>
      <c r="E17" s="98">
        <v>29</v>
      </c>
      <c r="F17" s="98">
        <v>419</v>
      </c>
      <c r="G17" s="99">
        <f t="shared" si="0"/>
        <v>88.771186440677965</v>
      </c>
      <c r="H17" s="98">
        <v>65</v>
      </c>
      <c r="I17" s="98">
        <v>274</v>
      </c>
      <c r="J17" s="98">
        <v>282</v>
      </c>
      <c r="K17" s="98">
        <v>681</v>
      </c>
      <c r="L17" s="99">
        <f t="shared" si="1"/>
        <v>248.54014598540147</v>
      </c>
      <c r="M17" s="98">
        <f>H17+C17+'ACP_Agri_9(i)'!C17</f>
        <v>3488</v>
      </c>
      <c r="N17" s="98">
        <f>I17+D17+'ACP_Agri_9(i)'!D17</f>
        <v>11973.65</v>
      </c>
      <c r="O17" s="98">
        <f>J17+E17+'ACP_Agri_9(i)'!E17</f>
        <v>2183</v>
      </c>
      <c r="P17" s="98">
        <f>K17+F17+'ACP_Agri_9(i)'!F17</f>
        <v>3347</v>
      </c>
      <c r="Q17" s="99">
        <f t="shared" si="2"/>
        <v>27.953046898815316</v>
      </c>
      <c r="T17" s="110"/>
    </row>
    <row r="18" spans="1:20">
      <c r="A18" s="57">
        <v>13</v>
      </c>
      <c r="B18" s="97" t="s">
        <v>63</v>
      </c>
      <c r="C18" s="98">
        <v>110</v>
      </c>
      <c r="D18" s="98">
        <v>456</v>
      </c>
      <c r="E18" s="98">
        <v>3</v>
      </c>
      <c r="F18" s="98">
        <v>26.63</v>
      </c>
      <c r="G18" s="99">
        <f t="shared" si="0"/>
        <v>5.8399122807017543</v>
      </c>
      <c r="H18" s="98">
        <v>75</v>
      </c>
      <c r="I18" s="98">
        <v>265</v>
      </c>
      <c r="J18" s="98">
        <v>53</v>
      </c>
      <c r="K18" s="98">
        <v>242</v>
      </c>
      <c r="L18" s="99">
        <f t="shared" si="1"/>
        <v>91.320754716981128</v>
      </c>
      <c r="M18" s="98">
        <f>H18+C18+'ACP_Agri_9(i)'!C18</f>
        <v>4069</v>
      </c>
      <c r="N18" s="98">
        <f>I18+D18+'ACP_Agri_9(i)'!D18</f>
        <v>11576.43</v>
      </c>
      <c r="O18" s="98">
        <f>J18+E18+'ACP_Agri_9(i)'!E18</f>
        <v>139</v>
      </c>
      <c r="P18" s="98">
        <f>K18+F18+'ACP_Agri_9(i)'!F18</f>
        <v>602.75</v>
      </c>
      <c r="Q18" s="99">
        <f t="shared" si="2"/>
        <v>5.2067001657678578</v>
      </c>
      <c r="T18" s="110"/>
    </row>
    <row r="19" spans="1:20">
      <c r="A19" s="57">
        <v>14</v>
      </c>
      <c r="B19" s="101" t="s">
        <v>206</v>
      </c>
      <c r="C19" s="98">
        <v>392</v>
      </c>
      <c r="D19" s="98">
        <v>1875</v>
      </c>
      <c r="E19" s="98">
        <v>0</v>
      </c>
      <c r="F19" s="98">
        <v>0</v>
      </c>
      <c r="G19" s="99">
        <f t="shared" si="0"/>
        <v>0</v>
      </c>
      <c r="H19" s="98">
        <v>270</v>
      </c>
      <c r="I19" s="98">
        <v>1089</v>
      </c>
      <c r="J19" s="98">
        <v>0</v>
      </c>
      <c r="K19" s="98">
        <v>0</v>
      </c>
      <c r="L19" s="99">
        <f t="shared" si="1"/>
        <v>0</v>
      </c>
      <c r="M19" s="98">
        <f>H19+C19+'ACP_Agri_9(i)'!C19</f>
        <v>14598</v>
      </c>
      <c r="N19" s="98">
        <f>I19+D19+'ACP_Agri_9(i)'!D19</f>
        <v>47604.09</v>
      </c>
      <c r="O19" s="98">
        <f>J19+E19+'ACP_Agri_9(i)'!E19</f>
        <v>12105</v>
      </c>
      <c r="P19" s="98">
        <f>K19+F19+'ACP_Agri_9(i)'!F19</f>
        <v>41539</v>
      </c>
      <c r="Q19" s="99">
        <f t="shared" si="2"/>
        <v>87.259309021556774</v>
      </c>
      <c r="T19" s="110"/>
    </row>
    <row r="20" spans="1:20">
      <c r="A20" s="57">
        <v>15</v>
      </c>
      <c r="B20" s="97" t="s">
        <v>207</v>
      </c>
      <c r="C20" s="98">
        <v>174</v>
      </c>
      <c r="D20" s="98">
        <v>842</v>
      </c>
      <c r="E20" s="98">
        <v>0</v>
      </c>
      <c r="F20" s="98">
        <v>0</v>
      </c>
      <c r="G20" s="99">
        <f t="shared" si="0"/>
        <v>0</v>
      </c>
      <c r="H20" s="98">
        <v>120</v>
      </c>
      <c r="I20" s="98">
        <v>489</v>
      </c>
      <c r="J20" s="98">
        <v>0</v>
      </c>
      <c r="K20" s="98">
        <v>0</v>
      </c>
      <c r="L20" s="99">
        <f t="shared" si="1"/>
        <v>0</v>
      </c>
      <c r="M20" s="98">
        <f>H20+C20+'ACP_Agri_9(i)'!C20</f>
        <v>6439</v>
      </c>
      <c r="N20" s="98">
        <f>I20+D20+'ACP_Agri_9(i)'!D20</f>
        <v>21381.1</v>
      </c>
      <c r="O20" s="98">
        <f>J20+E20+'ACP_Agri_9(i)'!E20</f>
        <v>725</v>
      </c>
      <c r="P20" s="98">
        <f>K20+F20+'ACP_Agri_9(i)'!F20</f>
        <v>1803.87</v>
      </c>
      <c r="Q20" s="99">
        <f t="shared" si="2"/>
        <v>8.4367502139740242</v>
      </c>
      <c r="T20" s="110"/>
    </row>
    <row r="21" spans="1:20">
      <c r="A21" s="57">
        <v>16</v>
      </c>
      <c r="B21" s="97" t="s">
        <v>64</v>
      </c>
      <c r="C21" s="98">
        <v>2210</v>
      </c>
      <c r="D21" s="98">
        <v>10693</v>
      </c>
      <c r="E21" s="98">
        <v>29</v>
      </c>
      <c r="F21" s="98">
        <v>2736</v>
      </c>
      <c r="G21" s="99">
        <f t="shared" si="0"/>
        <v>25.586832507247731</v>
      </c>
      <c r="H21" s="98">
        <v>1524</v>
      </c>
      <c r="I21" s="98">
        <v>6211</v>
      </c>
      <c r="J21" s="98">
        <v>126</v>
      </c>
      <c r="K21" s="98">
        <v>39524</v>
      </c>
      <c r="L21" s="99">
        <f t="shared" si="1"/>
        <v>636.35485429077448</v>
      </c>
      <c r="M21" s="98">
        <f>H21+C21+'ACP_Agri_9(i)'!C21</f>
        <v>82310</v>
      </c>
      <c r="N21" s="98">
        <f>I21+D21+'ACP_Agri_9(i)'!D21</f>
        <v>271507.81</v>
      </c>
      <c r="O21" s="98">
        <f>J21+E21+'ACP_Agri_9(i)'!E21</f>
        <v>91435</v>
      </c>
      <c r="P21" s="98">
        <f>K21+F21+'ACP_Agri_9(i)'!F21</f>
        <v>253598</v>
      </c>
      <c r="Q21" s="99">
        <f t="shared" si="2"/>
        <v>93.403574652235605</v>
      </c>
      <c r="T21" s="110"/>
    </row>
    <row r="22" spans="1:20">
      <c r="A22" s="57">
        <v>17</v>
      </c>
      <c r="B22" s="102" t="s">
        <v>69</v>
      </c>
      <c r="C22" s="98">
        <v>2</v>
      </c>
      <c r="D22" s="98">
        <v>9</v>
      </c>
      <c r="E22" s="98">
        <v>0</v>
      </c>
      <c r="F22" s="98">
        <v>0</v>
      </c>
      <c r="G22" s="99">
        <f t="shared" si="0"/>
        <v>0</v>
      </c>
      <c r="H22" s="98">
        <v>1</v>
      </c>
      <c r="I22" s="98">
        <v>5</v>
      </c>
      <c r="J22" s="98">
        <v>0</v>
      </c>
      <c r="K22" s="98">
        <v>0</v>
      </c>
      <c r="L22" s="99">
        <f t="shared" si="1"/>
        <v>0</v>
      </c>
      <c r="M22" s="98">
        <f>H22+C22+'ACP_Agri_9(i)'!C22</f>
        <v>68</v>
      </c>
      <c r="N22" s="98">
        <f>I22+D22+'ACP_Agri_9(i)'!D22</f>
        <v>237.17</v>
      </c>
      <c r="O22" s="98">
        <f>J22+E22+'ACP_Agri_9(i)'!E22</f>
        <v>0</v>
      </c>
      <c r="P22" s="98">
        <f>K22+F22+'ACP_Agri_9(i)'!F22</f>
        <v>0</v>
      </c>
      <c r="Q22" s="99">
        <f t="shared" si="2"/>
        <v>0</v>
      </c>
      <c r="T22" s="110"/>
    </row>
    <row r="23" spans="1:20">
      <c r="A23" s="57">
        <v>18</v>
      </c>
      <c r="B23" s="97" t="s">
        <v>208</v>
      </c>
      <c r="C23" s="98">
        <v>1</v>
      </c>
      <c r="D23" s="98">
        <v>5</v>
      </c>
      <c r="E23" s="98">
        <v>0</v>
      </c>
      <c r="F23" s="98">
        <v>0</v>
      </c>
      <c r="G23" s="99">
        <f t="shared" si="0"/>
        <v>0</v>
      </c>
      <c r="H23" s="98">
        <v>1</v>
      </c>
      <c r="I23" s="98">
        <v>3</v>
      </c>
      <c r="J23" s="98">
        <v>0</v>
      </c>
      <c r="K23" s="98">
        <v>0</v>
      </c>
      <c r="L23" s="99">
        <f t="shared" si="1"/>
        <v>0</v>
      </c>
      <c r="M23" s="98">
        <f>H23+C23+'ACP_Agri_9(i)'!C23</f>
        <v>30</v>
      </c>
      <c r="N23" s="98">
        <f>I23+D23+'ACP_Agri_9(i)'!D23</f>
        <v>134.06</v>
      </c>
      <c r="O23" s="98">
        <f>J23+E23+'ACP_Agri_9(i)'!E23</f>
        <v>0</v>
      </c>
      <c r="P23" s="98">
        <f>K23+F23+'ACP_Agri_9(i)'!F23</f>
        <v>0</v>
      </c>
      <c r="Q23" s="99">
        <f t="shared" si="2"/>
        <v>0</v>
      </c>
      <c r="T23" s="110"/>
    </row>
    <row r="24" spans="1:20">
      <c r="A24" s="57">
        <v>19</v>
      </c>
      <c r="B24" s="103" t="s">
        <v>209</v>
      </c>
      <c r="C24" s="98">
        <v>10</v>
      </c>
      <c r="D24" s="98">
        <v>27</v>
      </c>
      <c r="E24" s="98">
        <v>0</v>
      </c>
      <c r="F24" s="98">
        <v>0</v>
      </c>
      <c r="G24" s="99">
        <f t="shared" si="0"/>
        <v>0</v>
      </c>
      <c r="H24" s="98">
        <v>6</v>
      </c>
      <c r="I24" s="98">
        <v>16</v>
      </c>
      <c r="J24" s="98">
        <v>0</v>
      </c>
      <c r="K24" s="98">
        <v>0</v>
      </c>
      <c r="L24" s="99">
        <f t="shared" si="1"/>
        <v>0</v>
      </c>
      <c r="M24" s="98">
        <f>H24+C24+'ACP_Agri_9(i)'!C24</f>
        <v>337</v>
      </c>
      <c r="N24" s="98">
        <f>I24+D24+'ACP_Agri_9(i)'!D24</f>
        <v>681.35</v>
      </c>
      <c r="O24" s="98">
        <f>J24+E24+'ACP_Agri_9(i)'!E24</f>
        <v>0</v>
      </c>
      <c r="P24" s="98">
        <f>K24+F24+'ACP_Agri_9(i)'!F24</f>
        <v>0</v>
      </c>
      <c r="Q24" s="99">
        <f t="shared" si="2"/>
        <v>0</v>
      </c>
      <c r="T24" s="110"/>
    </row>
    <row r="25" spans="1:20">
      <c r="A25" s="57">
        <v>20</v>
      </c>
      <c r="B25" s="97" t="s">
        <v>210</v>
      </c>
      <c r="C25" s="98">
        <v>4</v>
      </c>
      <c r="D25" s="98">
        <v>18</v>
      </c>
      <c r="E25" s="98">
        <v>0</v>
      </c>
      <c r="F25" s="98">
        <v>0</v>
      </c>
      <c r="G25" s="99">
        <f t="shared" si="0"/>
        <v>0</v>
      </c>
      <c r="H25" s="98">
        <v>2</v>
      </c>
      <c r="I25" s="98">
        <v>11</v>
      </c>
      <c r="J25" s="98">
        <v>0</v>
      </c>
      <c r="K25" s="98">
        <v>0</v>
      </c>
      <c r="L25" s="99">
        <f t="shared" si="1"/>
        <v>0</v>
      </c>
      <c r="M25" s="98">
        <f>H25+C25+'ACP_Agri_9(i)'!C25</f>
        <v>131</v>
      </c>
      <c r="N25" s="98">
        <f>I25+D25+'ACP_Agri_9(i)'!D25</f>
        <v>464.81</v>
      </c>
      <c r="O25" s="98">
        <f>J25+E25+'ACP_Agri_9(i)'!E25</f>
        <v>0</v>
      </c>
      <c r="P25" s="98">
        <f>K25+F25+'ACP_Agri_9(i)'!F25</f>
        <v>0</v>
      </c>
      <c r="Q25" s="99">
        <f t="shared" si="2"/>
        <v>0</v>
      </c>
      <c r="T25" s="110"/>
    </row>
    <row r="26" spans="1:20">
      <c r="A26" s="57">
        <v>21</v>
      </c>
      <c r="B26" s="97" t="s">
        <v>211</v>
      </c>
      <c r="C26" s="98">
        <v>22</v>
      </c>
      <c r="D26" s="98">
        <v>123</v>
      </c>
      <c r="E26" s="98">
        <v>0</v>
      </c>
      <c r="F26" s="98">
        <v>0</v>
      </c>
      <c r="G26" s="99">
        <f t="shared" si="0"/>
        <v>0</v>
      </c>
      <c r="H26" s="98">
        <v>15</v>
      </c>
      <c r="I26" s="98">
        <v>71</v>
      </c>
      <c r="J26" s="98">
        <v>0</v>
      </c>
      <c r="K26" s="98">
        <v>0</v>
      </c>
      <c r="L26" s="99">
        <f t="shared" si="1"/>
        <v>0</v>
      </c>
      <c r="M26" s="98">
        <f>H26+C26+'ACP_Agri_9(i)'!C26</f>
        <v>796</v>
      </c>
      <c r="N26" s="98">
        <f>I26+D26+'ACP_Agri_9(i)'!D26</f>
        <v>3114.9</v>
      </c>
      <c r="O26" s="98">
        <f>J26+E26+'ACP_Agri_9(i)'!E26</f>
        <v>0</v>
      </c>
      <c r="P26" s="98">
        <f>K26+F26+'ACP_Agri_9(i)'!F26</f>
        <v>0</v>
      </c>
      <c r="Q26" s="99">
        <f t="shared" si="2"/>
        <v>0</v>
      </c>
      <c r="T26" s="110"/>
    </row>
    <row r="27" spans="1:20">
      <c r="A27" s="57">
        <v>22</v>
      </c>
      <c r="B27" s="97" t="s">
        <v>70</v>
      </c>
      <c r="C27" s="98">
        <v>16282</v>
      </c>
      <c r="D27" s="98">
        <v>77569</v>
      </c>
      <c r="E27" s="98">
        <v>2390</v>
      </c>
      <c r="F27" s="98">
        <v>12750</v>
      </c>
      <c r="G27" s="99">
        <f t="shared" si="0"/>
        <v>16.43697868994057</v>
      </c>
      <c r="H27" s="98">
        <v>11224</v>
      </c>
      <c r="I27" s="98">
        <v>45056</v>
      </c>
      <c r="J27" s="98">
        <v>73079</v>
      </c>
      <c r="K27" s="98">
        <v>118663</v>
      </c>
      <c r="L27" s="99">
        <f t="shared" si="1"/>
        <v>263.36780894886363</v>
      </c>
      <c r="M27" s="98">
        <f>H27+C27+'ACP_Agri_9(i)'!C27</f>
        <v>606624</v>
      </c>
      <c r="N27" s="98">
        <f>I27+D27+'ACP_Agri_9(i)'!D27</f>
        <v>1968868.46</v>
      </c>
      <c r="O27" s="98">
        <f>J27+E27+'ACP_Agri_9(i)'!E27</f>
        <v>498877</v>
      </c>
      <c r="P27" s="98">
        <f>K27+F27+'ACP_Agri_9(i)'!F27</f>
        <v>1048100</v>
      </c>
      <c r="Q27" s="99">
        <f t="shared" si="2"/>
        <v>53.233622321320546</v>
      </c>
      <c r="T27" s="110"/>
    </row>
    <row r="28" spans="1:20">
      <c r="A28" s="57">
        <v>23</v>
      </c>
      <c r="B28" s="97" t="s">
        <v>65</v>
      </c>
      <c r="C28" s="98">
        <v>432</v>
      </c>
      <c r="D28" s="98">
        <v>1672</v>
      </c>
      <c r="E28" s="98">
        <v>11</v>
      </c>
      <c r="F28" s="98">
        <v>523</v>
      </c>
      <c r="G28" s="99">
        <f t="shared" si="0"/>
        <v>31.279904306220097</v>
      </c>
      <c r="H28" s="98">
        <v>298</v>
      </c>
      <c r="I28" s="98">
        <v>971</v>
      </c>
      <c r="J28" s="98">
        <v>103</v>
      </c>
      <c r="K28" s="98">
        <v>1578</v>
      </c>
      <c r="L28" s="99">
        <f t="shared" si="1"/>
        <v>162.51287332646757</v>
      </c>
      <c r="M28" s="98">
        <f>H28+C28+'ACP_Agri_9(i)'!C28</f>
        <v>16104</v>
      </c>
      <c r="N28" s="98">
        <f>I28+D28+'ACP_Agri_9(i)'!D28</f>
        <v>42456.05</v>
      </c>
      <c r="O28" s="98">
        <f>J28+E28+'ACP_Agri_9(i)'!E28</f>
        <v>9148</v>
      </c>
      <c r="P28" s="98">
        <f>K28+F28+'ACP_Agri_9(i)'!F28</f>
        <v>15413</v>
      </c>
      <c r="Q28" s="99">
        <f t="shared" si="2"/>
        <v>36.303424364725402</v>
      </c>
      <c r="T28" s="110"/>
    </row>
    <row r="29" spans="1:20">
      <c r="A29" s="57">
        <v>24</v>
      </c>
      <c r="B29" s="97" t="s">
        <v>212</v>
      </c>
      <c r="C29" s="98">
        <v>1166</v>
      </c>
      <c r="D29" s="98">
        <v>5514</v>
      </c>
      <c r="E29" s="98">
        <v>29</v>
      </c>
      <c r="F29" s="98">
        <v>90</v>
      </c>
      <c r="G29" s="99">
        <f t="shared" si="0"/>
        <v>1.632208922742111</v>
      </c>
      <c r="H29" s="98">
        <v>804</v>
      </c>
      <c r="I29" s="98">
        <v>3203</v>
      </c>
      <c r="J29" s="98">
        <v>590</v>
      </c>
      <c r="K29" s="98">
        <v>995</v>
      </c>
      <c r="L29" s="99">
        <f t="shared" si="1"/>
        <v>31.064626912269748</v>
      </c>
      <c r="M29" s="98">
        <f>H29+C29+'ACP_Agri_9(i)'!C29</f>
        <v>43428</v>
      </c>
      <c r="N29" s="98">
        <f>I29+D29+'ACP_Agri_9(i)'!D29</f>
        <v>140007.79999999999</v>
      </c>
      <c r="O29" s="98">
        <f>J29+E29+'ACP_Agri_9(i)'!E29</f>
        <v>3423</v>
      </c>
      <c r="P29" s="98">
        <f>K29+F29+'ACP_Agri_9(i)'!F29</f>
        <v>7835</v>
      </c>
      <c r="Q29" s="99">
        <f t="shared" si="2"/>
        <v>5.5961167877789668</v>
      </c>
      <c r="T29" s="110"/>
    </row>
    <row r="30" spans="1:20">
      <c r="A30" s="57">
        <v>25</v>
      </c>
      <c r="B30" s="100" t="s">
        <v>66</v>
      </c>
      <c r="C30" s="98">
        <v>2500</v>
      </c>
      <c r="D30" s="98">
        <v>8824</v>
      </c>
      <c r="E30" s="98">
        <v>238</v>
      </c>
      <c r="F30" s="98">
        <v>1282</v>
      </c>
      <c r="G30" s="99">
        <f t="shared" si="0"/>
        <v>14.528558476881233</v>
      </c>
      <c r="H30" s="98">
        <v>1724</v>
      </c>
      <c r="I30" s="98">
        <v>5125</v>
      </c>
      <c r="J30" s="98">
        <v>632</v>
      </c>
      <c r="K30" s="98">
        <v>9583</v>
      </c>
      <c r="L30" s="99">
        <f t="shared" si="1"/>
        <v>186.98536585365855</v>
      </c>
      <c r="M30" s="98">
        <f>H30+C30+'ACP_Agri_9(i)'!C30</f>
        <v>93138</v>
      </c>
      <c r="N30" s="98">
        <f>I30+D30+'ACP_Agri_9(i)'!D30</f>
        <v>224049.66</v>
      </c>
      <c r="O30" s="98">
        <f>J30+E30+'ACP_Agri_9(i)'!E30</f>
        <v>75102</v>
      </c>
      <c r="P30" s="98">
        <f>K30+F30+'ACP_Agri_9(i)'!F30</f>
        <v>221693</v>
      </c>
      <c r="Q30" s="99">
        <f t="shared" si="2"/>
        <v>98.948152833617328</v>
      </c>
      <c r="T30" s="110"/>
    </row>
    <row r="31" spans="1:20">
      <c r="A31" s="57">
        <v>26</v>
      </c>
      <c r="B31" s="97" t="s">
        <v>67</v>
      </c>
      <c r="C31" s="98">
        <v>30</v>
      </c>
      <c r="D31" s="98">
        <v>114</v>
      </c>
      <c r="E31" s="98">
        <v>30</v>
      </c>
      <c r="F31" s="98">
        <v>114</v>
      </c>
      <c r="G31" s="99">
        <f t="shared" si="0"/>
        <v>100</v>
      </c>
      <c r="H31" s="98">
        <v>20</v>
      </c>
      <c r="I31" s="98">
        <v>66</v>
      </c>
      <c r="J31" s="98">
        <v>20</v>
      </c>
      <c r="K31" s="98">
        <v>66</v>
      </c>
      <c r="L31" s="99">
        <f t="shared" si="1"/>
        <v>100</v>
      </c>
      <c r="M31" s="98">
        <f>H31+C31+'ACP_Agri_9(i)'!C31</f>
        <v>1068</v>
      </c>
      <c r="N31" s="98">
        <f>I31+D31+'ACP_Agri_9(i)'!D31</f>
        <v>2883.56</v>
      </c>
      <c r="O31" s="98">
        <f>J31+E31+'ACP_Agri_9(i)'!E31</f>
        <v>1068</v>
      </c>
      <c r="P31" s="98">
        <f>K31+F31+'ACP_Agri_9(i)'!F31</f>
        <v>2196</v>
      </c>
      <c r="Q31" s="99">
        <f t="shared" si="2"/>
        <v>76.155862891703308</v>
      </c>
      <c r="T31" s="110"/>
    </row>
    <row r="32" spans="1:20">
      <c r="A32" s="57">
        <v>27</v>
      </c>
      <c r="B32" s="97" t="s">
        <v>50</v>
      </c>
      <c r="C32" s="98">
        <v>118</v>
      </c>
      <c r="D32" s="98">
        <v>552</v>
      </c>
      <c r="E32" s="98">
        <v>73</v>
      </c>
      <c r="F32" s="98">
        <v>165</v>
      </c>
      <c r="G32" s="99">
        <f t="shared" si="0"/>
        <v>29.891304347826086</v>
      </c>
      <c r="H32" s="98">
        <v>82</v>
      </c>
      <c r="I32" s="98">
        <v>321</v>
      </c>
      <c r="J32" s="98">
        <v>173</v>
      </c>
      <c r="K32" s="98">
        <v>279</v>
      </c>
      <c r="L32" s="99">
        <f t="shared" si="1"/>
        <v>86.915887850467286</v>
      </c>
      <c r="M32" s="98">
        <f>H32+C32+'ACP_Agri_9(i)'!C32</f>
        <v>4366</v>
      </c>
      <c r="N32" s="98">
        <f>I32+D32+'ACP_Agri_9(i)'!D32</f>
        <v>14019.41</v>
      </c>
      <c r="O32" s="98">
        <f>J32+E32+'ACP_Agri_9(i)'!E32</f>
        <v>8056</v>
      </c>
      <c r="P32" s="98">
        <f>K32+F32+'ACP_Agri_9(i)'!F32</f>
        <v>16604</v>
      </c>
      <c r="Q32" s="99">
        <f t="shared" si="2"/>
        <v>118.43579722684478</v>
      </c>
      <c r="T32" s="110"/>
    </row>
    <row r="33" spans="1:20" s="107" customFormat="1">
      <c r="A33" s="294"/>
      <c r="B33" s="104" t="s">
        <v>213</v>
      </c>
      <c r="C33" s="105">
        <f>SUM(C6:C32)</f>
        <v>39165</v>
      </c>
      <c r="D33" s="105">
        <f t="shared" ref="D33:N33" si="3">SUM(D6:D32)</f>
        <v>181665</v>
      </c>
      <c r="E33" s="105">
        <f t="shared" si="3"/>
        <v>19939</v>
      </c>
      <c r="F33" s="105">
        <f t="shared" si="3"/>
        <v>72308.459999999992</v>
      </c>
      <c r="G33" s="96">
        <f t="shared" si="0"/>
        <v>39.803187185203527</v>
      </c>
      <c r="H33" s="105">
        <f t="shared" si="3"/>
        <v>29989</v>
      </c>
      <c r="I33" s="105">
        <f t="shared" si="3"/>
        <v>105505</v>
      </c>
      <c r="J33" s="105">
        <f t="shared" si="3"/>
        <v>100802</v>
      </c>
      <c r="K33" s="105">
        <f t="shared" si="3"/>
        <v>222946.09</v>
      </c>
      <c r="L33" s="96">
        <f t="shared" si="1"/>
        <v>211.31329320885266</v>
      </c>
      <c r="M33" s="105">
        <f t="shared" si="3"/>
        <v>1461408</v>
      </c>
      <c r="N33" s="105">
        <f t="shared" si="3"/>
        <v>4611424.26</v>
      </c>
      <c r="O33" s="105">
        <f>J33+E33+'ACP_Agri_9(i)'!E33</f>
        <v>2273311</v>
      </c>
      <c r="P33" s="105">
        <f>K33+F33+'ACP_Agri_9(i)'!F33</f>
        <v>3185258.33</v>
      </c>
      <c r="Q33" s="96">
        <f t="shared" si="2"/>
        <v>69.073200608091526</v>
      </c>
      <c r="R33" s="110"/>
      <c r="T33" s="110"/>
    </row>
    <row r="34" spans="1:20">
      <c r="A34" s="57">
        <v>28</v>
      </c>
      <c r="B34" s="97" t="s">
        <v>47</v>
      </c>
      <c r="C34" s="98">
        <v>644</v>
      </c>
      <c r="D34" s="98">
        <v>2736</v>
      </c>
      <c r="E34" s="98">
        <v>266</v>
      </c>
      <c r="F34" s="98">
        <v>1188.22</v>
      </c>
      <c r="G34" s="99">
        <f t="shared" si="0"/>
        <v>43.429093567251464</v>
      </c>
      <c r="H34" s="98">
        <v>444</v>
      </c>
      <c r="I34" s="98">
        <v>1589</v>
      </c>
      <c r="J34" s="98">
        <v>19</v>
      </c>
      <c r="K34" s="98">
        <v>347.72</v>
      </c>
      <c r="L34" s="99">
        <f t="shared" si="1"/>
        <v>21.882945248584015</v>
      </c>
      <c r="M34" s="98">
        <f>H34+C34+'ACP_Agri_9(i)'!C34</f>
        <v>23960</v>
      </c>
      <c r="N34" s="98">
        <f>I34+D34+'ACP_Agri_9(i)'!D34</f>
        <v>69477.83</v>
      </c>
      <c r="O34" s="98">
        <f>J34+E34+'ACP_Agri_9(i)'!E34</f>
        <v>116898</v>
      </c>
      <c r="P34" s="98">
        <f>K34+F34+'ACP_Agri_9(i)'!F34</f>
        <v>84979.94</v>
      </c>
      <c r="Q34" s="99">
        <f t="shared" si="2"/>
        <v>122.31231171152007</v>
      </c>
      <c r="T34" s="110"/>
    </row>
    <row r="35" spans="1:20">
      <c r="A35" s="57">
        <v>29</v>
      </c>
      <c r="B35" s="58" t="s">
        <v>214</v>
      </c>
      <c r="C35" s="98">
        <v>112</v>
      </c>
      <c r="D35" s="98">
        <v>173</v>
      </c>
      <c r="E35" s="98">
        <v>0</v>
      </c>
      <c r="F35" s="98">
        <v>0</v>
      </c>
      <c r="G35" s="99">
        <f t="shared" si="0"/>
        <v>0</v>
      </c>
      <c r="H35" s="98">
        <v>32</v>
      </c>
      <c r="I35" s="98">
        <v>128</v>
      </c>
      <c r="J35" s="98">
        <v>0</v>
      </c>
      <c r="K35" s="98">
        <v>0</v>
      </c>
      <c r="L35" s="99">
        <f t="shared" si="1"/>
        <v>0</v>
      </c>
      <c r="M35" s="98">
        <f>H35+C35+'ACP_Agri_9(i)'!C35</f>
        <v>839</v>
      </c>
      <c r="N35" s="98">
        <f>I35+D35+'ACP_Agri_9(i)'!D35</f>
        <v>817.98</v>
      </c>
      <c r="O35" s="98">
        <f>J35+E35+'ACP_Agri_9(i)'!E35</f>
        <v>0</v>
      </c>
      <c r="P35" s="98">
        <f>K35+F35+'ACP_Agri_9(i)'!F35</f>
        <v>0</v>
      </c>
      <c r="Q35" s="99">
        <f t="shared" si="2"/>
        <v>0</v>
      </c>
      <c r="T35" s="110"/>
    </row>
    <row r="36" spans="1:20">
      <c r="A36" s="57">
        <v>30</v>
      </c>
      <c r="B36" s="58" t="s">
        <v>215</v>
      </c>
      <c r="C36" s="98">
        <v>0</v>
      </c>
      <c r="D36" s="98">
        <v>0</v>
      </c>
      <c r="E36" s="98">
        <v>0</v>
      </c>
      <c r="F36" s="98">
        <v>0</v>
      </c>
      <c r="G36" s="99">
        <v>0</v>
      </c>
      <c r="H36" s="98">
        <v>0</v>
      </c>
      <c r="I36" s="98">
        <v>0</v>
      </c>
      <c r="J36" s="98">
        <v>0</v>
      </c>
      <c r="K36" s="98">
        <v>0</v>
      </c>
      <c r="L36" s="99">
        <v>0</v>
      </c>
      <c r="M36" s="98">
        <f>H36+C36+'ACP_Agri_9(i)'!C36</f>
        <v>0</v>
      </c>
      <c r="N36" s="98">
        <f>I36+D36+'ACP_Agri_9(i)'!D36</f>
        <v>0</v>
      </c>
      <c r="O36" s="98">
        <f>J36+E36+'ACP_Agri_9(i)'!E36</f>
        <v>0</v>
      </c>
      <c r="P36" s="98">
        <f>K36+F36+'ACP_Agri_9(i)'!F36</f>
        <v>0</v>
      </c>
      <c r="Q36" s="99">
        <v>0</v>
      </c>
      <c r="T36" s="110"/>
    </row>
    <row r="37" spans="1:20">
      <c r="A37" s="57">
        <v>31</v>
      </c>
      <c r="B37" s="97" t="s">
        <v>78</v>
      </c>
      <c r="C37" s="98">
        <v>0</v>
      </c>
      <c r="D37" s="98">
        <v>0</v>
      </c>
      <c r="E37" s="98">
        <v>0</v>
      </c>
      <c r="F37" s="98">
        <v>0</v>
      </c>
      <c r="G37" s="99">
        <v>0</v>
      </c>
      <c r="H37" s="98">
        <v>0</v>
      </c>
      <c r="I37" s="98">
        <v>0</v>
      </c>
      <c r="J37" s="98">
        <v>0</v>
      </c>
      <c r="K37" s="98">
        <v>0</v>
      </c>
      <c r="L37" s="99">
        <v>0</v>
      </c>
      <c r="M37" s="98">
        <f>H37+C37+'ACP_Agri_9(i)'!C37</f>
        <v>0</v>
      </c>
      <c r="N37" s="98">
        <f>I37+D37+'ACP_Agri_9(i)'!D37</f>
        <v>0</v>
      </c>
      <c r="O37" s="98">
        <f>J37+E37+'ACP_Agri_9(i)'!E37</f>
        <v>0</v>
      </c>
      <c r="P37" s="98">
        <f>K37+F37+'ACP_Agri_9(i)'!F37</f>
        <v>0</v>
      </c>
      <c r="Q37" s="99">
        <v>0</v>
      </c>
      <c r="T37" s="110"/>
    </row>
    <row r="38" spans="1:20">
      <c r="A38" s="57">
        <v>32</v>
      </c>
      <c r="B38" s="97" t="s">
        <v>51</v>
      </c>
      <c r="C38" s="98">
        <v>0</v>
      </c>
      <c r="D38" s="98">
        <v>0</v>
      </c>
      <c r="E38" s="98">
        <v>0</v>
      </c>
      <c r="F38" s="98">
        <v>0</v>
      </c>
      <c r="G38" s="99">
        <v>0</v>
      </c>
      <c r="H38" s="98">
        <v>0</v>
      </c>
      <c r="I38" s="98">
        <v>0</v>
      </c>
      <c r="J38" s="98">
        <v>2</v>
      </c>
      <c r="K38" s="98">
        <v>15.39</v>
      </c>
      <c r="L38" s="99">
        <v>0</v>
      </c>
      <c r="M38" s="98">
        <f>H38+C38+'ACP_Agri_9(i)'!C38</f>
        <v>0</v>
      </c>
      <c r="N38" s="98">
        <f>I38+D38+'ACP_Agri_9(i)'!D38</f>
        <v>0</v>
      </c>
      <c r="O38" s="98">
        <f>J38+E38+'ACP_Agri_9(i)'!E38</f>
        <v>2</v>
      </c>
      <c r="P38" s="98">
        <f>K38+F38+'ACP_Agri_9(i)'!F38</f>
        <v>15.39</v>
      </c>
      <c r="Q38" s="99">
        <v>0</v>
      </c>
      <c r="T38" s="110"/>
    </row>
    <row r="39" spans="1:20">
      <c r="A39" s="57">
        <v>33</v>
      </c>
      <c r="B39" s="97" t="s">
        <v>216</v>
      </c>
      <c r="C39" s="98">
        <v>11</v>
      </c>
      <c r="D39" s="98">
        <v>37</v>
      </c>
      <c r="E39" s="98">
        <v>1</v>
      </c>
      <c r="F39" s="98">
        <v>147</v>
      </c>
      <c r="G39" s="99">
        <f t="shared" si="0"/>
        <v>397.29729729729729</v>
      </c>
      <c r="H39" s="98">
        <v>8</v>
      </c>
      <c r="I39" s="98">
        <v>21</v>
      </c>
      <c r="J39" s="98">
        <v>20</v>
      </c>
      <c r="K39" s="98">
        <v>949</v>
      </c>
      <c r="L39" s="99">
        <f t="shared" si="1"/>
        <v>4519.0476190476193</v>
      </c>
      <c r="M39" s="98">
        <f>H39+C39+'ACP_Agri_9(i)'!C39</f>
        <v>420</v>
      </c>
      <c r="N39" s="98">
        <f>I39+D39+'ACP_Agri_9(i)'!D39</f>
        <v>931.08</v>
      </c>
      <c r="O39" s="98">
        <f>J39+E39+'ACP_Agri_9(i)'!E39</f>
        <v>11952</v>
      </c>
      <c r="P39" s="98">
        <f>K39+F39+'ACP_Agri_9(i)'!F39</f>
        <v>20399.080000000002</v>
      </c>
      <c r="Q39" s="99">
        <f t="shared" si="2"/>
        <v>2190.9051853761225</v>
      </c>
      <c r="T39" s="110"/>
    </row>
    <row r="40" spans="1:20">
      <c r="A40" s="57">
        <v>34</v>
      </c>
      <c r="B40" s="97" t="s">
        <v>217</v>
      </c>
      <c r="C40" s="98">
        <v>1</v>
      </c>
      <c r="D40" s="98">
        <v>5</v>
      </c>
      <c r="E40" s="98">
        <v>0</v>
      </c>
      <c r="F40" s="98">
        <v>0</v>
      </c>
      <c r="G40" s="99">
        <f t="shared" si="0"/>
        <v>0</v>
      </c>
      <c r="H40" s="98">
        <v>1</v>
      </c>
      <c r="I40" s="98">
        <v>3</v>
      </c>
      <c r="J40" s="98">
        <v>0</v>
      </c>
      <c r="K40" s="98">
        <v>0</v>
      </c>
      <c r="L40" s="99">
        <f t="shared" si="1"/>
        <v>0</v>
      </c>
      <c r="M40" s="98">
        <f>H40+C40+'ACP_Agri_9(i)'!C40</f>
        <v>30</v>
      </c>
      <c r="N40" s="98">
        <f>I40+D40+'ACP_Agri_9(i)'!D40</f>
        <v>134.06</v>
      </c>
      <c r="O40" s="98">
        <f>J40+E40+'ACP_Agri_9(i)'!E40</f>
        <v>0</v>
      </c>
      <c r="P40" s="98">
        <f>K40+F40+'ACP_Agri_9(i)'!F40</f>
        <v>0</v>
      </c>
      <c r="Q40" s="99">
        <f t="shared" si="2"/>
        <v>0</v>
      </c>
      <c r="T40" s="110"/>
    </row>
    <row r="41" spans="1:20">
      <c r="A41" s="57">
        <v>35</v>
      </c>
      <c r="B41" s="97" t="s">
        <v>218</v>
      </c>
      <c r="C41" s="98">
        <v>20</v>
      </c>
      <c r="D41" s="98">
        <v>115</v>
      </c>
      <c r="E41" s="98">
        <v>1</v>
      </c>
      <c r="F41" s="98">
        <v>41</v>
      </c>
      <c r="G41" s="99">
        <f t="shared" si="0"/>
        <v>35.652173913043477</v>
      </c>
      <c r="H41" s="98">
        <v>14</v>
      </c>
      <c r="I41" s="98">
        <v>67</v>
      </c>
      <c r="J41" s="98">
        <v>175</v>
      </c>
      <c r="K41" s="98">
        <v>1390</v>
      </c>
      <c r="L41" s="99">
        <f t="shared" si="1"/>
        <v>2074.626865671642</v>
      </c>
      <c r="M41" s="98">
        <f>H41+C41+'ACP_Agri_9(i)'!C41</f>
        <v>706</v>
      </c>
      <c r="N41" s="98">
        <f>I41+D41+'ACP_Agri_9(i)'!D41</f>
        <v>2918.89</v>
      </c>
      <c r="O41" s="98">
        <f>J41+E41+'ACP_Agri_9(i)'!E41</f>
        <v>3401</v>
      </c>
      <c r="P41" s="98">
        <f>K41+F41+'ACP_Agri_9(i)'!F41</f>
        <v>6216</v>
      </c>
      <c r="Q41" s="99">
        <f t="shared" si="2"/>
        <v>212.95766541390736</v>
      </c>
      <c r="T41" s="110"/>
    </row>
    <row r="42" spans="1:20">
      <c r="A42" s="57">
        <v>36</v>
      </c>
      <c r="B42" s="97" t="s">
        <v>71</v>
      </c>
      <c r="C42" s="98">
        <v>830</v>
      </c>
      <c r="D42" s="98">
        <v>4638</v>
      </c>
      <c r="E42" s="98">
        <v>20</v>
      </c>
      <c r="F42" s="98">
        <v>323.37</v>
      </c>
      <c r="G42" s="99">
        <f t="shared" si="0"/>
        <v>6.9721862871927556</v>
      </c>
      <c r="H42" s="98">
        <v>572</v>
      </c>
      <c r="I42" s="98">
        <v>2694</v>
      </c>
      <c r="J42" s="98">
        <v>995</v>
      </c>
      <c r="K42" s="98">
        <v>48392.76</v>
      </c>
      <c r="L42" s="99">
        <f t="shared" si="1"/>
        <v>1796.3162583518931</v>
      </c>
      <c r="M42" s="98">
        <f>H42+C42+'ACP_Agri_9(i)'!C42</f>
        <v>30928</v>
      </c>
      <c r="N42" s="98">
        <f>I42+D42+'ACP_Agri_9(i)'!D42</f>
        <v>117760.58</v>
      </c>
      <c r="O42" s="98">
        <f>J42+E42+'ACP_Agri_9(i)'!E42</f>
        <v>57449</v>
      </c>
      <c r="P42" s="98">
        <f>K42+F42+'ACP_Agri_9(i)'!F42</f>
        <v>229147.87</v>
      </c>
      <c r="Q42" s="99">
        <f t="shared" si="2"/>
        <v>194.58792577278408</v>
      </c>
      <c r="T42" s="110"/>
    </row>
    <row r="43" spans="1:20">
      <c r="A43" s="57">
        <v>37</v>
      </c>
      <c r="B43" s="97" t="s">
        <v>72</v>
      </c>
      <c r="C43" s="98">
        <v>868</v>
      </c>
      <c r="D43" s="98">
        <v>4431</v>
      </c>
      <c r="E43" s="98">
        <v>2407</v>
      </c>
      <c r="F43" s="98">
        <v>6230</v>
      </c>
      <c r="G43" s="99">
        <f t="shared" si="0"/>
        <v>140.60031595576621</v>
      </c>
      <c r="H43" s="98">
        <v>566</v>
      </c>
      <c r="I43" s="98">
        <v>2573</v>
      </c>
      <c r="J43" s="98">
        <v>1444</v>
      </c>
      <c r="K43" s="98">
        <v>3738</v>
      </c>
      <c r="L43" s="99">
        <f t="shared" si="1"/>
        <v>145.27788573649437</v>
      </c>
      <c r="M43" s="98">
        <f>H43+C43+'ACP_Agri_9(i)'!C43</f>
        <v>32319</v>
      </c>
      <c r="N43" s="98">
        <f>I43+D43+'ACP_Agri_9(i)'!D43</f>
        <v>112497.41</v>
      </c>
      <c r="O43" s="98">
        <f>J43+E43+'ACP_Agri_9(i)'!E43</f>
        <v>96273</v>
      </c>
      <c r="P43" s="98">
        <f>K43+F43+'ACP_Agri_9(i)'!F43</f>
        <v>249208</v>
      </c>
      <c r="Q43" s="99">
        <f t="shared" si="2"/>
        <v>221.52332218137289</v>
      </c>
      <c r="T43" s="110"/>
    </row>
    <row r="44" spans="1:20">
      <c r="A44" s="57">
        <v>38</v>
      </c>
      <c r="B44" s="97" t="s">
        <v>219</v>
      </c>
      <c r="C44" s="98">
        <v>0</v>
      </c>
      <c r="D44" s="98">
        <v>0</v>
      </c>
      <c r="E44" s="98">
        <v>0</v>
      </c>
      <c r="F44" s="98">
        <v>0</v>
      </c>
      <c r="G44" s="99">
        <v>0</v>
      </c>
      <c r="H44" s="98"/>
      <c r="I44" s="98"/>
      <c r="J44" s="98">
        <v>0</v>
      </c>
      <c r="K44" s="98">
        <v>0</v>
      </c>
      <c r="L44" s="99">
        <v>0</v>
      </c>
      <c r="M44" s="98">
        <f>H44+C44+'ACP_Agri_9(i)'!C44</f>
        <v>0</v>
      </c>
      <c r="N44" s="98">
        <f>I44+D44+'ACP_Agri_9(i)'!D44</f>
        <v>0</v>
      </c>
      <c r="O44" s="98">
        <f>J44+E44+'ACP_Agri_9(i)'!E44</f>
        <v>67214</v>
      </c>
      <c r="P44" s="98">
        <f>K44+F44+'ACP_Agri_9(i)'!F44</f>
        <v>13261.368</v>
      </c>
      <c r="Q44" s="99">
        <v>0</v>
      </c>
      <c r="T44" s="110"/>
    </row>
    <row r="45" spans="1:20">
      <c r="A45" s="57">
        <v>39</v>
      </c>
      <c r="B45" s="97" t="s">
        <v>220</v>
      </c>
      <c r="C45" s="98">
        <v>72</v>
      </c>
      <c r="D45" s="98">
        <v>248</v>
      </c>
      <c r="E45" s="98">
        <v>12</v>
      </c>
      <c r="F45" s="98">
        <v>2500</v>
      </c>
      <c r="G45" s="99">
        <f t="shared" si="0"/>
        <v>1008.0645161290323</v>
      </c>
      <c r="H45" s="98">
        <v>50</v>
      </c>
      <c r="I45" s="98">
        <v>144</v>
      </c>
      <c r="J45" s="98">
        <v>4665</v>
      </c>
      <c r="K45" s="98">
        <v>13662.9</v>
      </c>
      <c r="L45" s="99">
        <f t="shared" si="1"/>
        <v>9488.125</v>
      </c>
      <c r="M45" s="98">
        <f>H45+C45+'ACP_Agri_9(i)'!C45</f>
        <v>2639</v>
      </c>
      <c r="N45" s="98">
        <f>I45+D45+'ACP_Agri_9(i)'!D45</f>
        <v>6304.73</v>
      </c>
      <c r="O45" s="98">
        <f>J45+E45+'ACP_Agri_9(i)'!E45</f>
        <v>4677</v>
      </c>
      <c r="P45" s="98">
        <f>K45+F45+'ACP_Agri_9(i)'!F45</f>
        <v>16162.9</v>
      </c>
      <c r="Q45" s="99">
        <f t="shared" si="2"/>
        <v>256.36149367221122</v>
      </c>
      <c r="T45" s="110"/>
    </row>
    <row r="46" spans="1:20">
      <c r="A46" s="57">
        <v>40</v>
      </c>
      <c r="B46" s="97" t="s">
        <v>221</v>
      </c>
      <c r="C46" s="98">
        <v>2</v>
      </c>
      <c r="D46" s="98">
        <v>13</v>
      </c>
      <c r="E46" s="98">
        <v>0</v>
      </c>
      <c r="F46" s="98">
        <v>0</v>
      </c>
      <c r="G46" s="99">
        <f t="shared" si="0"/>
        <v>0</v>
      </c>
      <c r="H46" s="98">
        <v>1</v>
      </c>
      <c r="I46" s="98">
        <v>8</v>
      </c>
      <c r="J46" s="98">
        <v>0</v>
      </c>
      <c r="K46" s="98">
        <v>0</v>
      </c>
      <c r="L46" s="99">
        <f t="shared" si="1"/>
        <v>0</v>
      </c>
      <c r="M46" s="98">
        <f>H46+C46+'ACP_Agri_9(i)'!C46</f>
        <v>77</v>
      </c>
      <c r="N46" s="98">
        <f>I46+D46+'ACP_Agri_9(i)'!D46</f>
        <v>340.68</v>
      </c>
      <c r="O46" s="98">
        <f>J46+E46+'ACP_Agri_9(i)'!E46</f>
        <v>0</v>
      </c>
      <c r="P46" s="98">
        <f>K46+F46+'ACP_Agri_9(i)'!F46</f>
        <v>0</v>
      </c>
      <c r="Q46" s="99">
        <f t="shared" si="2"/>
        <v>0</v>
      </c>
      <c r="T46" s="110"/>
    </row>
    <row r="47" spans="1:20">
      <c r="A47" s="57">
        <v>41</v>
      </c>
      <c r="B47" s="97" t="s">
        <v>222</v>
      </c>
      <c r="C47" s="98">
        <v>12</v>
      </c>
      <c r="D47" s="98">
        <v>46</v>
      </c>
      <c r="E47" s="98">
        <v>7</v>
      </c>
      <c r="F47" s="98">
        <v>431.68</v>
      </c>
      <c r="G47" s="99">
        <f t="shared" si="0"/>
        <v>938.43478260869563</v>
      </c>
      <c r="H47" s="98">
        <v>8</v>
      </c>
      <c r="I47" s="98">
        <v>27</v>
      </c>
      <c r="J47" s="98">
        <v>7</v>
      </c>
      <c r="K47" s="98">
        <v>244.78</v>
      </c>
      <c r="L47" s="99">
        <f t="shared" si="1"/>
        <v>906.59259259259261</v>
      </c>
      <c r="M47" s="98">
        <f>H47+C47+'ACP_Agri_9(i)'!C47</f>
        <v>404</v>
      </c>
      <c r="N47" s="98">
        <f>I47+D47+'ACP_Agri_9(i)'!D47</f>
        <v>1180.02</v>
      </c>
      <c r="O47" s="98">
        <f>J47+E47+'ACP_Agri_9(i)'!E47</f>
        <v>1294</v>
      </c>
      <c r="P47" s="98">
        <f>K47+F47+'ACP_Agri_9(i)'!F47</f>
        <v>8003.79</v>
      </c>
      <c r="Q47" s="99">
        <f t="shared" si="2"/>
        <v>678.2757919357299</v>
      </c>
      <c r="T47" s="110"/>
    </row>
    <row r="48" spans="1:20">
      <c r="A48" s="57">
        <v>42</v>
      </c>
      <c r="B48" s="106" t="s">
        <v>223</v>
      </c>
      <c r="C48" s="98">
        <v>0</v>
      </c>
      <c r="D48" s="98">
        <v>0</v>
      </c>
      <c r="E48" s="98">
        <v>0</v>
      </c>
      <c r="F48" s="98">
        <v>0</v>
      </c>
      <c r="G48" s="99">
        <v>0</v>
      </c>
      <c r="H48" s="98">
        <v>0</v>
      </c>
      <c r="I48" s="98">
        <v>0</v>
      </c>
      <c r="J48" s="98">
        <v>0</v>
      </c>
      <c r="K48" s="98">
        <v>0</v>
      </c>
      <c r="L48" s="99">
        <v>0</v>
      </c>
      <c r="M48" s="98">
        <f>H48+C48+'ACP_Agri_9(i)'!C48</f>
        <v>0</v>
      </c>
      <c r="N48" s="98">
        <f>I48+D48+'ACP_Agri_9(i)'!D48</f>
        <v>0</v>
      </c>
      <c r="O48" s="98">
        <f>J48+E48+'ACP_Agri_9(i)'!E48</f>
        <v>0</v>
      </c>
      <c r="P48" s="98">
        <f>K48+F48+'ACP_Agri_9(i)'!F48</f>
        <v>0</v>
      </c>
      <c r="Q48" s="99">
        <v>0</v>
      </c>
      <c r="T48" s="110"/>
    </row>
    <row r="49" spans="1:20">
      <c r="A49" s="57">
        <v>43</v>
      </c>
      <c r="B49" s="97" t="s">
        <v>73</v>
      </c>
      <c r="C49" s="98">
        <v>136</v>
      </c>
      <c r="D49" s="98">
        <v>832</v>
      </c>
      <c r="E49" s="98">
        <v>568</v>
      </c>
      <c r="F49" s="98">
        <v>821</v>
      </c>
      <c r="G49" s="99">
        <f t="shared" si="0"/>
        <v>98.677884615384613</v>
      </c>
      <c r="H49" s="98">
        <v>93</v>
      </c>
      <c r="I49" s="98">
        <v>483</v>
      </c>
      <c r="J49" s="98">
        <v>107</v>
      </c>
      <c r="K49" s="98">
        <v>13761</v>
      </c>
      <c r="L49" s="99">
        <f t="shared" si="1"/>
        <v>2849.0683229813662</v>
      </c>
      <c r="M49" s="98">
        <f>H49+C49+'ACP_Agri_9(i)'!C49</f>
        <v>5031</v>
      </c>
      <c r="N49" s="98">
        <f>I49+D49+'ACP_Agri_9(i)'!D49</f>
        <v>21115.97</v>
      </c>
      <c r="O49" s="98">
        <f>J49+E49+'ACP_Agri_9(i)'!E49</f>
        <v>19653</v>
      </c>
      <c r="P49" s="98">
        <f>K49+F49+'ACP_Agri_9(i)'!F49</f>
        <v>43775</v>
      </c>
      <c r="Q49" s="99">
        <f t="shared" si="2"/>
        <v>207.30754968869533</v>
      </c>
      <c r="T49" s="110"/>
    </row>
    <row r="50" spans="1:20">
      <c r="A50" s="57">
        <v>44</v>
      </c>
      <c r="B50" s="97" t="s">
        <v>224</v>
      </c>
      <c r="C50" s="98">
        <v>0</v>
      </c>
      <c r="D50" s="98">
        <v>0</v>
      </c>
      <c r="E50" s="98">
        <v>0</v>
      </c>
      <c r="F50" s="98">
        <v>0</v>
      </c>
      <c r="G50" s="99">
        <v>0</v>
      </c>
      <c r="H50" s="98">
        <v>0</v>
      </c>
      <c r="I50" s="98">
        <v>0</v>
      </c>
      <c r="J50" s="98">
        <v>0</v>
      </c>
      <c r="K50" s="98">
        <v>0</v>
      </c>
      <c r="L50" s="99">
        <v>0</v>
      </c>
      <c r="M50" s="98">
        <f>H50+C50+'ACP_Agri_9(i)'!C50</f>
        <v>0</v>
      </c>
      <c r="N50" s="98">
        <f>I50+D50+'ACP_Agri_9(i)'!D50</f>
        <v>0</v>
      </c>
      <c r="O50" s="98">
        <f>J50+E50+'ACP_Agri_9(i)'!E50</f>
        <v>0</v>
      </c>
      <c r="P50" s="98">
        <f>K50+F50+'ACP_Agri_9(i)'!F50</f>
        <v>0</v>
      </c>
      <c r="Q50" s="99">
        <v>0</v>
      </c>
      <c r="T50" s="110"/>
    </row>
    <row r="51" spans="1:20">
      <c r="A51" s="57">
        <v>45</v>
      </c>
      <c r="B51" s="97" t="s">
        <v>225</v>
      </c>
      <c r="C51" s="98">
        <v>16</v>
      </c>
      <c r="D51" s="98">
        <v>50</v>
      </c>
      <c r="E51" s="98">
        <v>99</v>
      </c>
      <c r="F51" s="98">
        <v>3286</v>
      </c>
      <c r="G51" s="99">
        <f t="shared" si="0"/>
        <v>6572</v>
      </c>
      <c r="H51" s="98">
        <v>10</v>
      </c>
      <c r="I51" s="98">
        <v>29</v>
      </c>
      <c r="J51" s="98">
        <v>63</v>
      </c>
      <c r="K51" s="98">
        <v>3672</v>
      </c>
      <c r="L51" s="99">
        <f t="shared" si="1"/>
        <v>12662.068965517241</v>
      </c>
      <c r="M51" s="98">
        <f>H51+C51+'ACP_Agri_9(i)'!C51</f>
        <v>553</v>
      </c>
      <c r="N51" s="98">
        <f>I51+D51+'ACP_Agri_9(i)'!D51</f>
        <v>1258.51</v>
      </c>
      <c r="O51" s="98">
        <f>J51+E51+'ACP_Agri_9(i)'!E51</f>
        <v>12336</v>
      </c>
      <c r="P51" s="98">
        <f>K51+F51+'ACP_Agri_9(i)'!F51</f>
        <v>23259</v>
      </c>
      <c r="Q51" s="99">
        <f t="shared" si="2"/>
        <v>1848.1378773311296</v>
      </c>
      <c r="T51" s="110"/>
    </row>
    <row r="52" spans="1:20">
      <c r="A52" s="57">
        <v>46</v>
      </c>
      <c r="B52" s="97" t="s">
        <v>226</v>
      </c>
      <c r="C52" s="98">
        <v>1</v>
      </c>
      <c r="D52" s="98">
        <v>5</v>
      </c>
      <c r="E52" s="98">
        <v>0</v>
      </c>
      <c r="F52" s="98">
        <v>0</v>
      </c>
      <c r="G52" s="99">
        <f t="shared" si="0"/>
        <v>0</v>
      </c>
      <c r="H52" s="98">
        <v>1</v>
      </c>
      <c r="I52" s="98">
        <v>3</v>
      </c>
      <c r="J52" s="98">
        <v>0</v>
      </c>
      <c r="K52" s="98">
        <v>0</v>
      </c>
      <c r="L52" s="99">
        <f t="shared" si="1"/>
        <v>0</v>
      </c>
      <c r="M52" s="98">
        <f>H52+C52+'ACP_Agri_9(i)'!C52</f>
        <v>30</v>
      </c>
      <c r="N52" s="98">
        <f>I52+D52+'ACP_Agri_9(i)'!D52</f>
        <v>134.06</v>
      </c>
      <c r="O52" s="98">
        <f>J52+E52+'ACP_Agri_9(i)'!E52</f>
        <v>0</v>
      </c>
      <c r="P52" s="98">
        <f>K52+F52+'ACP_Agri_9(i)'!F52</f>
        <v>0</v>
      </c>
      <c r="Q52" s="99">
        <f t="shared" si="2"/>
        <v>0</v>
      </c>
      <c r="T52" s="110"/>
    </row>
    <row r="53" spans="1:20">
      <c r="A53" s="57">
        <v>47</v>
      </c>
      <c r="B53" s="97" t="s">
        <v>77</v>
      </c>
      <c r="C53" s="98">
        <v>0</v>
      </c>
      <c r="D53" s="98">
        <v>0</v>
      </c>
      <c r="E53" s="98">
        <v>0</v>
      </c>
      <c r="F53" s="98">
        <v>0</v>
      </c>
      <c r="G53" s="99">
        <v>0</v>
      </c>
      <c r="H53" s="98"/>
      <c r="I53" s="98"/>
      <c r="J53" s="98">
        <v>0</v>
      </c>
      <c r="K53" s="98">
        <v>0</v>
      </c>
      <c r="L53" s="99">
        <v>0</v>
      </c>
      <c r="M53" s="98">
        <f>H53+C53+'ACP_Agri_9(i)'!C53</f>
        <v>0</v>
      </c>
      <c r="N53" s="98">
        <f>I53+D53+'ACP_Agri_9(i)'!D53</f>
        <v>0</v>
      </c>
      <c r="O53" s="98">
        <f>J53+E53+'ACP_Agri_9(i)'!E53</f>
        <v>0</v>
      </c>
      <c r="P53" s="98">
        <f>K53+F53+'ACP_Agri_9(i)'!F53</f>
        <v>0</v>
      </c>
      <c r="Q53" s="99">
        <v>0</v>
      </c>
      <c r="T53" s="110"/>
    </row>
    <row r="54" spans="1:20">
      <c r="A54" s="57">
        <v>48</v>
      </c>
      <c r="B54" s="97" t="s">
        <v>227</v>
      </c>
      <c r="C54" s="98">
        <v>0</v>
      </c>
      <c r="D54" s="98">
        <v>0</v>
      </c>
      <c r="E54" s="98">
        <v>0</v>
      </c>
      <c r="F54" s="98">
        <v>0</v>
      </c>
      <c r="G54" s="99">
        <v>0</v>
      </c>
      <c r="H54" s="98"/>
      <c r="I54" s="98"/>
      <c r="J54" s="98">
        <v>0</v>
      </c>
      <c r="K54" s="98">
        <v>0</v>
      </c>
      <c r="L54" s="99">
        <v>0</v>
      </c>
      <c r="M54" s="98">
        <f>H54+C54+'ACP_Agri_9(i)'!C54</f>
        <v>0</v>
      </c>
      <c r="N54" s="98">
        <f>I54+D54+'ACP_Agri_9(i)'!D54</f>
        <v>0</v>
      </c>
      <c r="O54" s="98">
        <f>J54+E54+'ACP_Agri_9(i)'!E54</f>
        <v>0</v>
      </c>
      <c r="P54" s="98">
        <f>K54+F54+'ACP_Agri_9(i)'!F54</f>
        <v>0</v>
      </c>
      <c r="Q54" s="99">
        <v>0</v>
      </c>
      <c r="T54" s="110"/>
    </row>
    <row r="55" spans="1:20">
      <c r="A55" s="57">
        <v>49</v>
      </c>
      <c r="B55" s="58" t="s">
        <v>76</v>
      </c>
      <c r="C55" s="98">
        <v>34</v>
      </c>
      <c r="D55" s="98">
        <v>134</v>
      </c>
      <c r="E55" s="98">
        <v>12</v>
      </c>
      <c r="F55" s="98">
        <v>1534</v>
      </c>
      <c r="G55" s="99">
        <f t="shared" si="0"/>
        <v>1144.7761194029852</v>
      </c>
      <c r="H55" s="98">
        <v>23</v>
      </c>
      <c r="I55" s="98">
        <v>78</v>
      </c>
      <c r="J55" s="98">
        <v>51</v>
      </c>
      <c r="K55" s="98">
        <v>8181</v>
      </c>
      <c r="L55" s="99">
        <f t="shared" si="1"/>
        <v>10488.461538461539</v>
      </c>
      <c r="M55" s="98">
        <f>H55+C55+'ACP_Agri_9(i)'!C55</f>
        <v>1256</v>
      </c>
      <c r="N55" s="98">
        <f>I55+D55+'ACP_Agri_9(i)'!D55</f>
        <v>4124.0599999999995</v>
      </c>
      <c r="O55" s="98">
        <f>J55+E55+'ACP_Agri_9(i)'!E55</f>
        <v>4477</v>
      </c>
      <c r="P55" s="98">
        <f>K55+F55+'ACP_Agri_9(i)'!F55</f>
        <v>10966.73</v>
      </c>
      <c r="Q55" s="99">
        <f t="shared" si="2"/>
        <v>265.92071890321677</v>
      </c>
      <c r="T55" s="110"/>
    </row>
    <row r="56" spans="1:20" s="107" customFormat="1">
      <c r="A56" s="294"/>
      <c r="B56" s="59" t="s">
        <v>287</v>
      </c>
      <c r="C56" s="105">
        <f>SUM(C34:C55)</f>
        <v>2759</v>
      </c>
      <c r="D56" s="105">
        <f t="shared" ref="D56:N56" si="4">SUM(D34:D55)</f>
        <v>13463</v>
      </c>
      <c r="E56" s="105">
        <f t="shared" si="4"/>
        <v>3393</v>
      </c>
      <c r="F56" s="105">
        <f t="shared" si="4"/>
        <v>16502.27</v>
      </c>
      <c r="G56" s="96">
        <f t="shared" si="0"/>
        <v>122.57498328752878</v>
      </c>
      <c r="H56" s="105">
        <f t="shared" si="4"/>
        <v>1823</v>
      </c>
      <c r="I56" s="105">
        <f t="shared" si="4"/>
        <v>7847</v>
      </c>
      <c r="J56" s="105">
        <f t="shared" si="4"/>
        <v>7548</v>
      </c>
      <c r="K56" s="105">
        <f t="shared" si="4"/>
        <v>94354.55</v>
      </c>
      <c r="L56" s="96">
        <f t="shared" si="1"/>
        <v>1202.4283165540971</v>
      </c>
      <c r="M56" s="105">
        <f t="shared" si="4"/>
        <v>99192</v>
      </c>
      <c r="N56" s="105">
        <f t="shared" si="4"/>
        <v>338995.86</v>
      </c>
      <c r="O56" s="105">
        <f>J56+E56+'ACP_Agri_9(i)'!E56</f>
        <v>395626</v>
      </c>
      <c r="P56" s="105">
        <f>K56+F56+'ACP_Agri_9(i)'!F56</f>
        <v>705395.06799999997</v>
      </c>
      <c r="Q56" s="96">
        <f t="shared" si="2"/>
        <v>208.08368220190064</v>
      </c>
      <c r="R56" s="110"/>
      <c r="T56" s="110"/>
    </row>
    <row r="57" spans="1:20" s="107" customFormat="1">
      <c r="A57" s="57">
        <v>50</v>
      </c>
      <c r="B57" s="58" t="s">
        <v>46</v>
      </c>
      <c r="C57" s="98">
        <v>2484</v>
      </c>
      <c r="D57" s="98">
        <v>15711</v>
      </c>
      <c r="E57" s="98">
        <v>1</v>
      </c>
      <c r="F57" s="98">
        <v>9.24</v>
      </c>
      <c r="G57" s="99">
        <f t="shared" si="0"/>
        <v>5.8812297116669847E-2</v>
      </c>
      <c r="H57" s="98">
        <v>236</v>
      </c>
      <c r="I57" s="98">
        <v>1296</v>
      </c>
      <c r="J57" s="98">
        <v>2</v>
      </c>
      <c r="K57" s="98">
        <v>0.3</v>
      </c>
      <c r="L57" s="99">
        <f t="shared" si="1"/>
        <v>2.3148148148148147E-2</v>
      </c>
      <c r="M57" s="98">
        <f>H57+C57+'ACP_Agri_9(i)'!C57</f>
        <v>79754</v>
      </c>
      <c r="N57" s="98">
        <f>I57+D57+'ACP_Agri_9(i)'!D57</f>
        <v>289600.48</v>
      </c>
      <c r="O57" s="98">
        <f>J57+E57+'ACP_Agri_9(i)'!E57</f>
        <v>109602</v>
      </c>
      <c r="P57" s="98">
        <f>K57+F57+'ACP_Agri_9(i)'!F57</f>
        <v>131964.35</v>
      </c>
      <c r="Q57" s="99">
        <f t="shared" si="2"/>
        <v>45.56772488774881</v>
      </c>
      <c r="R57" s="110"/>
      <c r="T57" s="110"/>
    </row>
    <row r="58" spans="1:20" s="107" customFormat="1">
      <c r="A58" s="57">
        <v>51</v>
      </c>
      <c r="B58" s="58" t="s">
        <v>228</v>
      </c>
      <c r="C58" s="98">
        <v>3220</v>
      </c>
      <c r="D58" s="98">
        <v>11416</v>
      </c>
      <c r="E58" s="98">
        <v>0</v>
      </c>
      <c r="F58" s="98">
        <v>0</v>
      </c>
      <c r="G58" s="99">
        <f t="shared" si="0"/>
        <v>0</v>
      </c>
      <c r="H58" s="98">
        <v>551</v>
      </c>
      <c r="I58" s="98">
        <v>3197</v>
      </c>
      <c r="J58" s="98">
        <v>0</v>
      </c>
      <c r="K58" s="98">
        <v>0</v>
      </c>
      <c r="L58" s="99">
        <f t="shared" si="1"/>
        <v>0</v>
      </c>
      <c r="M58" s="98">
        <f>H58+C58+'ACP_Agri_9(i)'!C58</f>
        <v>146373</v>
      </c>
      <c r="N58" s="98">
        <f>I58+D58+'ACP_Agri_9(i)'!D58</f>
        <v>284530.7</v>
      </c>
      <c r="O58" s="98">
        <f>J58+E58+'ACP_Agri_9(i)'!E58</f>
        <v>140050</v>
      </c>
      <c r="P58" s="98">
        <f>K58+F58+'ACP_Agri_9(i)'!F58</f>
        <v>85671</v>
      </c>
      <c r="Q58" s="99">
        <f t="shared" si="2"/>
        <v>30.109580442461919</v>
      </c>
      <c r="R58" s="110"/>
      <c r="T58" s="110"/>
    </row>
    <row r="59" spans="1:20">
      <c r="A59" s="57">
        <v>52</v>
      </c>
      <c r="B59" s="58" t="s">
        <v>52</v>
      </c>
      <c r="C59" s="98">
        <v>3522</v>
      </c>
      <c r="D59" s="98">
        <v>12966</v>
      </c>
      <c r="E59" s="98">
        <v>0</v>
      </c>
      <c r="F59" s="98">
        <v>0</v>
      </c>
      <c r="G59" s="99">
        <f t="shared" si="0"/>
        <v>0</v>
      </c>
      <c r="H59" s="98">
        <v>5572</v>
      </c>
      <c r="I59" s="98">
        <v>18794</v>
      </c>
      <c r="J59" s="98">
        <v>890</v>
      </c>
      <c r="K59" s="98">
        <v>992.78</v>
      </c>
      <c r="L59" s="99">
        <f t="shared" si="1"/>
        <v>5.2824305629456205</v>
      </c>
      <c r="M59" s="98">
        <f>H59+C59+'ACP_Agri_9(i)'!C59</f>
        <v>117579.042837079</v>
      </c>
      <c r="N59" s="98">
        <f>I59+D59+'ACP_Agri_9(i)'!D59</f>
        <v>443890.97</v>
      </c>
      <c r="O59" s="98">
        <f>J59+E59+'ACP_Agri_9(i)'!E59</f>
        <v>205432</v>
      </c>
      <c r="P59" s="98">
        <f>K59+F59+'ACP_Agri_9(i)'!F59</f>
        <v>316420.91000000003</v>
      </c>
      <c r="Q59" s="99">
        <f t="shared" si="2"/>
        <v>71.283475309263451</v>
      </c>
      <c r="T59" s="110"/>
    </row>
    <row r="60" spans="1:20" s="107" customFormat="1">
      <c r="A60" s="294"/>
      <c r="B60" s="59" t="s">
        <v>293</v>
      </c>
      <c r="C60" s="105">
        <f>SUM(C57:C59)</f>
        <v>9226</v>
      </c>
      <c r="D60" s="105">
        <f t="shared" ref="D60:N60" si="5">SUM(D57:D59)</f>
        <v>40093</v>
      </c>
      <c r="E60" s="105">
        <f t="shared" si="5"/>
        <v>1</v>
      </c>
      <c r="F60" s="105">
        <f t="shared" si="5"/>
        <v>9.24</v>
      </c>
      <c r="G60" s="96">
        <f t="shared" si="0"/>
        <v>2.3046417080288331E-2</v>
      </c>
      <c r="H60" s="105">
        <f t="shared" si="5"/>
        <v>6359</v>
      </c>
      <c r="I60" s="105">
        <f t="shared" si="5"/>
        <v>23287</v>
      </c>
      <c r="J60" s="105">
        <f t="shared" si="5"/>
        <v>892</v>
      </c>
      <c r="K60" s="105">
        <f t="shared" si="5"/>
        <v>993.07999999999993</v>
      </c>
      <c r="L60" s="96">
        <f t="shared" si="1"/>
        <v>4.2645252716107702</v>
      </c>
      <c r="M60" s="105">
        <f t="shared" si="5"/>
        <v>343706.04283707903</v>
      </c>
      <c r="N60" s="105">
        <f t="shared" si="5"/>
        <v>1018022.1499999999</v>
      </c>
      <c r="O60" s="105">
        <f>J60+E60+'ACP_Agri_9(i)'!E60</f>
        <v>455084</v>
      </c>
      <c r="P60" s="105">
        <f>K60+F60+'ACP_Agri_9(i)'!F60</f>
        <v>534056.25999999989</v>
      </c>
      <c r="Q60" s="96">
        <f t="shared" si="2"/>
        <v>52.460180753434486</v>
      </c>
      <c r="R60" s="110"/>
      <c r="T60" s="110"/>
    </row>
    <row r="61" spans="1:20">
      <c r="A61" s="57">
        <v>53</v>
      </c>
      <c r="B61" s="58" t="s">
        <v>288</v>
      </c>
      <c r="C61" s="98">
        <v>32840</v>
      </c>
      <c r="D61" s="98">
        <v>83222</v>
      </c>
      <c r="E61" s="98">
        <v>0</v>
      </c>
      <c r="F61" s="98">
        <v>0</v>
      </c>
      <c r="G61" s="99">
        <f t="shared" si="0"/>
        <v>0</v>
      </c>
      <c r="H61" s="98">
        <v>10958</v>
      </c>
      <c r="I61" s="98">
        <v>51081</v>
      </c>
      <c r="J61" s="98">
        <v>712</v>
      </c>
      <c r="K61" s="98">
        <v>1369</v>
      </c>
      <c r="L61" s="99">
        <f t="shared" si="1"/>
        <v>2.6800571641119006</v>
      </c>
      <c r="M61" s="98">
        <f>H61+C61+'ACP_Agri_9(i)'!C61</f>
        <v>2269798</v>
      </c>
      <c r="N61" s="98">
        <f>I61+D61+'ACP_Agri_9(i)'!D61</f>
        <v>2130413.9900000002</v>
      </c>
      <c r="O61" s="98">
        <f>J61+E61+'ACP_Agri_9(i)'!E61</f>
        <v>775620</v>
      </c>
      <c r="P61" s="98">
        <f>K61+F61+'ACP_Agri_9(i)'!F61</f>
        <v>1991471</v>
      </c>
      <c r="Q61" s="99">
        <f t="shared" si="2"/>
        <v>93.478122531480366</v>
      </c>
      <c r="R61" s="110">
        <v>1925000</v>
      </c>
      <c r="T61" s="110"/>
    </row>
    <row r="62" spans="1:20" s="107" customFormat="1">
      <c r="A62" s="294"/>
      <c r="B62" s="59" t="s">
        <v>289</v>
      </c>
      <c r="C62" s="105">
        <f>C61</f>
        <v>32840</v>
      </c>
      <c r="D62" s="105">
        <f t="shared" ref="D62:N62" si="6">D61</f>
        <v>83222</v>
      </c>
      <c r="E62" s="105">
        <f t="shared" si="6"/>
        <v>0</v>
      </c>
      <c r="F62" s="105">
        <f t="shared" si="6"/>
        <v>0</v>
      </c>
      <c r="G62" s="96">
        <f t="shared" si="0"/>
        <v>0</v>
      </c>
      <c r="H62" s="105">
        <f t="shared" si="6"/>
        <v>10958</v>
      </c>
      <c r="I62" s="105">
        <f t="shared" si="6"/>
        <v>51081</v>
      </c>
      <c r="J62" s="105">
        <f t="shared" si="6"/>
        <v>712</v>
      </c>
      <c r="K62" s="105">
        <f t="shared" si="6"/>
        <v>1369</v>
      </c>
      <c r="L62" s="96">
        <f t="shared" si="1"/>
        <v>2.6800571641119006</v>
      </c>
      <c r="M62" s="105">
        <f t="shared" si="6"/>
        <v>2269798</v>
      </c>
      <c r="N62" s="105">
        <f t="shared" si="6"/>
        <v>2130413.9900000002</v>
      </c>
      <c r="O62" s="105">
        <f>J62+E62+'ACP_Agri_9(i)'!E62</f>
        <v>775620</v>
      </c>
      <c r="P62" s="105">
        <f>K62+F62+'ACP_Agri_9(i)'!F62</f>
        <v>1991471</v>
      </c>
      <c r="Q62" s="96">
        <f t="shared" si="2"/>
        <v>93.478122531480366</v>
      </c>
      <c r="R62" s="110"/>
      <c r="T62" s="110"/>
    </row>
    <row r="63" spans="1:20" s="107" customFormat="1">
      <c r="A63" s="294"/>
      <c r="B63" s="59" t="s">
        <v>290</v>
      </c>
      <c r="C63" s="105">
        <f>C62+C60+C56+C33</f>
        <v>83990</v>
      </c>
      <c r="D63" s="105">
        <f t="shared" ref="D63:N63" si="7">D62+D60+D56+D33</f>
        <v>318443</v>
      </c>
      <c r="E63" s="105">
        <f t="shared" si="7"/>
        <v>23333</v>
      </c>
      <c r="F63" s="105">
        <f t="shared" si="7"/>
        <v>88819.97</v>
      </c>
      <c r="G63" s="96">
        <f t="shared" si="0"/>
        <v>27.891952405925078</v>
      </c>
      <c r="H63" s="105">
        <f t="shared" si="7"/>
        <v>49129</v>
      </c>
      <c r="I63" s="105">
        <f t="shared" si="7"/>
        <v>187720</v>
      </c>
      <c r="J63" s="105">
        <f t="shared" si="7"/>
        <v>109954</v>
      </c>
      <c r="K63" s="105">
        <f t="shared" si="7"/>
        <v>319662.71999999997</v>
      </c>
      <c r="L63" s="96">
        <f t="shared" si="1"/>
        <v>170.28698060941826</v>
      </c>
      <c r="M63" s="105">
        <f t="shared" si="7"/>
        <v>4174104.0428370791</v>
      </c>
      <c r="N63" s="105">
        <f t="shared" si="7"/>
        <v>8098856.2599999998</v>
      </c>
      <c r="O63" s="105">
        <f>J63+E63+'ACP_Agri_9(i)'!E63</f>
        <v>3899641</v>
      </c>
      <c r="P63" s="105">
        <f>K63+F63+'ACP_Agri_9(i)'!F63</f>
        <v>6416180.6579999998</v>
      </c>
      <c r="Q63" s="96">
        <f t="shared" si="2"/>
        <v>79.223293413531948</v>
      </c>
      <c r="R63" s="110"/>
      <c r="T63" s="110"/>
    </row>
    <row r="64" spans="1:20">
      <c r="A64" s="60"/>
      <c r="G64" s="110"/>
      <c r="L64" s="110"/>
    </row>
    <row r="66" spans="13:16">
      <c r="M66" s="110" t="s">
        <v>1203</v>
      </c>
      <c r="N66" s="110">
        <f>'ACP_Agri_9(i)'!I63</f>
        <v>5852094.25</v>
      </c>
      <c r="P66" s="110">
        <f>'ACP_Agri_9(i)'!K63</f>
        <v>5003362.2</v>
      </c>
    </row>
    <row r="68" spans="13:16">
      <c r="M68" s="110" t="s">
        <v>1204</v>
      </c>
      <c r="N68" s="110">
        <f>N63-N66</f>
        <v>2246762.0099999998</v>
      </c>
      <c r="P68" s="110">
        <f>P63-P66</f>
        <v>1412818.4579999996</v>
      </c>
    </row>
  </sheetData>
  <mergeCells count="15">
    <mergeCell ref="Q4:Q5"/>
    <mergeCell ref="A1:P1"/>
    <mergeCell ref="M3:Q3"/>
    <mergeCell ref="A3:A5"/>
    <mergeCell ref="B3:B5"/>
    <mergeCell ref="G4:G5"/>
    <mergeCell ref="C3:G3"/>
    <mergeCell ref="L4:L5"/>
    <mergeCell ref="H3:L3"/>
    <mergeCell ref="E4:F4"/>
    <mergeCell ref="H4:I4"/>
    <mergeCell ref="O4:P4"/>
    <mergeCell ref="C4:D4"/>
    <mergeCell ref="J4:K4"/>
    <mergeCell ref="M4:N4"/>
  </mergeCells>
  <conditionalFormatting sqref="AB1:AB1048576">
    <cfRule type="cellIs" dxfId="141" priority="12" stopIfTrue="1" operator="greaterThan">
      <formula>100</formula>
    </cfRule>
  </conditionalFormatting>
  <conditionalFormatting sqref="B6">
    <cfRule type="duplicateValues" dxfId="140" priority="6"/>
  </conditionalFormatting>
  <conditionalFormatting sqref="B22">
    <cfRule type="duplicateValues" dxfId="139" priority="7"/>
  </conditionalFormatting>
  <conditionalFormatting sqref="B32:B33 B26:B29">
    <cfRule type="duplicateValues" dxfId="138" priority="8"/>
  </conditionalFormatting>
  <conditionalFormatting sqref="B51">
    <cfRule type="duplicateValues" dxfId="137" priority="9"/>
  </conditionalFormatting>
  <conditionalFormatting sqref="B55">
    <cfRule type="duplicateValues" dxfId="136" priority="10"/>
  </conditionalFormatting>
  <conditionalFormatting sqref="B57">
    <cfRule type="duplicateValues" dxfId="135" priority="11"/>
  </conditionalFormatting>
  <conditionalFormatting sqref="Q1:Q1048576">
    <cfRule type="cellIs" dxfId="134" priority="5" stopIfTrue="1" operator="greaterThan">
      <formula>50</formula>
    </cfRule>
  </conditionalFormatting>
  <conditionalFormatting sqref="T1:T1048576">
    <cfRule type="cellIs" dxfId="133" priority="1" operator="lessThan">
      <formula>0</formula>
    </cfRule>
  </conditionalFormatting>
  <pageMargins left="1.2" right="0.7" top="0.25" bottom="0.25" header="0.3" footer="0.3"/>
  <pageSetup paperSize="9" scale="60" orientation="landscape" r:id="rId1"/>
  <headerFooter>
    <oddFooter>&amp;CData Table, State Level Banker's Committee, M.P. as on 31.12.2016 Page No.84</oddFooter>
  </headerFooter>
  <colBreaks count="1" manualBreakCount="1">
    <brk id="1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15" sqref="E15:N15"/>
    </sheetView>
  </sheetViews>
  <sheetFormatPr defaultColWidth="4.42578125" defaultRowHeight="13.5"/>
  <cols>
    <col min="1" max="1" width="4.42578125" style="139"/>
    <col min="2" max="2" width="23.28515625" style="139" customWidth="1"/>
    <col min="3" max="3" width="10.5703125" style="143" bestFit="1" customWidth="1"/>
    <col min="4" max="4" width="11.140625" style="143" bestFit="1" customWidth="1"/>
    <col min="5" max="5" width="10.42578125" style="143" bestFit="1" customWidth="1"/>
    <col min="6" max="6" width="10.140625" style="143" bestFit="1" customWidth="1"/>
    <col min="7" max="7" width="8" style="143" customWidth="1"/>
    <col min="8" max="8" width="10.42578125" style="143" bestFit="1" customWidth="1"/>
    <col min="9" max="9" width="8" style="143" customWidth="1"/>
    <col min="10" max="10" width="9.85546875" style="143" bestFit="1" customWidth="1"/>
    <col min="11" max="11" width="7.140625" style="143" customWidth="1"/>
    <col min="12" max="12" width="7.28515625" style="143" customWidth="1"/>
    <col min="13" max="13" width="10.140625" style="143" bestFit="1" customWidth="1"/>
    <col min="14" max="14" width="8.5703125" style="143" customWidth="1"/>
    <col min="15" max="15" width="9.42578125" style="143" bestFit="1" customWidth="1"/>
    <col min="16" max="16" width="10.140625" style="143" bestFit="1" customWidth="1"/>
    <col min="17" max="17" width="11.85546875" style="145" customWidth="1"/>
    <col min="18" max="16384" width="4.42578125" style="139"/>
  </cols>
  <sheetData>
    <row r="1" spans="1:17" s="61" customFormat="1" ht="18.75">
      <c r="A1" s="593" t="s">
        <v>758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  <c r="Q1" s="108"/>
    </row>
    <row r="2" spans="1:17" s="61" customFormat="1">
      <c r="B2" s="107" t="s">
        <v>134</v>
      </c>
      <c r="C2" s="111"/>
      <c r="D2" s="111"/>
      <c r="E2" s="110"/>
      <c r="F2" s="110"/>
      <c r="G2" s="110"/>
      <c r="H2" s="110"/>
      <c r="I2" s="110"/>
      <c r="J2" s="110"/>
      <c r="K2" s="110" t="s">
        <v>143</v>
      </c>
      <c r="L2" s="110"/>
      <c r="M2" s="110"/>
      <c r="N2" s="111" t="s">
        <v>157</v>
      </c>
      <c r="O2" s="110"/>
      <c r="P2" s="110"/>
      <c r="Q2" s="108"/>
    </row>
    <row r="3" spans="1:17" s="61" customFormat="1" ht="35.1" customHeight="1">
      <c r="A3" s="594" t="s">
        <v>120</v>
      </c>
      <c r="B3" s="594" t="s">
        <v>100</v>
      </c>
      <c r="C3" s="603" t="s">
        <v>159</v>
      </c>
      <c r="D3" s="607"/>
      <c r="E3" s="596" t="s">
        <v>759</v>
      </c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8"/>
      <c r="Q3" s="592" t="s">
        <v>158</v>
      </c>
    </row>
    <row r="4" spans="1:17" s="61" customFormat="1" ht="35.1" customHeight="1">
      <c r="A4" s="594"/>
      <c r="B4" s="594"/>
      <c r="C4" s="605"/>
      <c r="D4" s="608"/>
      <c r="E4" s="596" t="s">
        <v>127</v>
      </c>
      <c r="F4" s="598"/>
      <c r="G4" s="596" t="s">
        <v>128</v>
      </c>
      <c r="H4" s="598"/>
      <c r="I4" s="596" t="s">
        <v>129</v>
      </c>
      <c r="J4" s="598"/>
      <c r="K4" s="596" t="s">
        <v>130</v>
      </c>
      <c r="L4" s="598"/>
      <c r="M4" s="596" t="s">
        <v>132</v>
      </c>
      <c r="N4" s="598"/>
      <c r="O4" s="596" t="s">
        <v>156</v>
      </c>
      <c r="P4" s="598"/>
      <c r="Q4" s="592"/>
    </row>
    <row r="5" spans="1:17" s="61" customFormat="1" ht="35.1" customHeight="1">
      <c r="A5" s="594"/>
      <c r="B5" s="594"/>
      <c r="C5" s="295" t="s">
        <v>30</v>
      </c>
      <c r="D5" s="295" t="s">
        <v>17</v>
      </c>
      <c r="E5" s="295" t="s">
        <v>30</v>
      </c>
      <c r="F5" s="295" t="s">
        <v>17</v>
      </c>
      <c r="G5" s="295" t="s">
        <v>30</v>
      </c>
      <c r="H5" s="295" t="s">
        <v>17</v>
      </c>
      <c r="I5" s="295" t="s">
        <v>30</v>
      </c>
      <c r="J5" s="295" t="s">
        <v>17</v>
      </c>
      <c r="K5" s="295" t="s">
        <v>30</v>
      </c>
      <c r="L5" s="295" t="s">
        <v>17</v>
      </c>
      <c r="M5" s="295" t="s">
        <v>30</v>
      </c>
      <c r="N5" s="295" t="s">
        <v>17</v>
      </c>
      <c r="O5" s="295" t="s">
        <v>30</v>
      </c>
      <c r="P5" s="295" t="s">
        <v>17</v>
      </c>
      <c r="Q5" s="592"/>
    </row>
    <row r="6" spans="1:17" s="61" customFormat="1">
      <c r="A6" s="57">
        <v>1</v>
      </c>
      <c r="B6" s="97" t="s">
        <v>55</v>
      </c>
      <c r="C6" s="98">
        <v>12951</v>
      </c>
      <c r="D6" s="98">
        <v>44689</v>
      </c>
      <c r="E6" s="98">
        <v>3448</v>
      </c>
      <c r="F6" s="98">
        <v>9486</v>
      </c>
      <c r="G6" s="98">
        <v>1108</v>
      </c>
      <c r="H6" s="98">
        <v>12101</v>
      </c>
      <c r="I6" s="98">
        <v>54</v>
      </c>
      <c r="J6" s="98">
        <v>19569</v>
      </c>
      <c r="K6" s="98">
        <v>114</v>
      </c>
      <c r="L6" s="98">
        <v>232</v>
      </c>
      <c r="M6" s="98">
        <v>101</v>
      </c>
      <c r="N6" s="98">
        <v>330</v>
      </c>
      <c r="O6" s="98">
        <f t="shared" ref="O6:O32" si="0">E6+G6+I6+K6+M6</f>
        <v>4825</v>
      </c>
      <c r="P6" s="98">
        <f t="shared" ref="P6:P32" si="1">F6+H6+J6+L6+N6</f>
        <v>41718</v>
      </c>
      <c r="Q6" s="99">
        <f t="shared" ref="Q6:Q35" si="2">P6*100/D6</f>
        <v>93.351831546913104</v>
      </c>
    </row>
    <row r="7" spans="1:17" s="61" customFormat="1">
      <c r="A7" s="57">
        <v>2</v>
      </c>
      <c r="B7" s="97" t="s">
        <v>56</v>
      </c>
      <c r="C7" s="98">
        <v>1105</v>
      </c>
      <c r="D7" s="98">
        <v>4895</v>
      </c>
      <c r="E7" s="98">
        <v>762</v>
      </c>
      <c r="F7" s="98">
        <v>2132.11</v>
      </c>
      <c r="G7" s="98">
        <v>31</v>
      </c>
      <c r="H7" s="98">
        <v>1357.23</v>
      </c>
      <c r="I7" s="98">
        <v>3</v>
      </c>
      <c r="J7" s="98">
        <v>1321.68</v>
      </c>
      <c r="K7" s="98">
        <v>0</v>
      </c>
      <c r="L7" s="98">
        <v>0</v>
      </c>
      <c r="M7" s="98">
        <v>0</v>
      </c>
      <c r="N7" s="98">
        <v>0</v>
      </c>
      <c r="O7" s="98">
        <f t="shared" si="0"/>
        <v>796</v>
      </c>
      <c r="P7" s="98">
        <f t="shared" si="1"/>
        <v>4811.0200000000004</v>
      </c>
      <c r="Q7" s="99">
        <f t="shared" si="2"/>
        <v>98.284371807967332</v>
      </c>
    </row>
    <row r="8" spans="1:17" s="61" customFormat="1">
      <c r="A8" s="57">
        <v>3</v>
      </c>
      <c r="B8" s="97" t="s">
        <v>57</v>
      </c>
      <c r="C8" s="98">
        <v>11898</v>
      </c>
      <c r="D8" s="98">
        <v>47875</v>
      </c>
      <c r="E8" s="98">
        <v>9612</v>
      </c>
      <c r="F8" s="98">
        <v>2656</v>
      </c>
      <c r="G8" s="98">
        <v>509</v>
      </c>
      <c r="H8" s="98">
        <v>41352</v>
      </c>
      <c r="I8" s="98">
        <v>216</v>
      </c>
      <c r="J8" s="98">
        <v>4067</v>
      </c>
      <c r="K8" s="98">
        <v>119</v>
      </c>
      <c r="L8" s="98">
        <v>986</v>
      </c>
      <c r="M8" s="98">
        <v>11</v>
      </c>
      <c r="N8" s="98">
        <v>96</v>
      </c>
      <c r="O8" s="98">
        <f t="shared" si="0"/>
        <v>10467</v>
      </c>
      <c r="P8" s="98">
        <f t="shared" si="1"/>
        <v>49157</v>
      </c>
      <c r="Q8" s="99">
        <f t="shared" si="2"/>
        <v>102.67780678851175</v>
      </c>
    </row>
    <row r="9" spans="1:17" s="61" customFormat="1">
      <c r="A9" s="57">
        <v>4</v>
      </c>
      <c r="B9" s="97" t="s">
        <v>58</v>
      </c>
      <c r="C9" s="98">
        <v>4346</v>
      </c>
      <c r="D9" s="98">
        <v>106889</v>
      </c>
      <c r="E9" s="98">
        <v>18975</v>
      </c>
      <c r="F9" s="98">
        <v>68241</v>
      </c>
      <c r="G9" s="98">
        <v>2787</v>
      </c>
      <c r="H9" s="98">
        <v>23996</v>
      </c>
      <c r="I9" s="98">
        <v>180</v>
      </c>
      <c r="J9" s="98">
        <v>7524</v>
      </c>
      <c r="K9" s="98">
        <v>14</v>
      </c>
      <c r="L9" s="98">
        <v>7</v>
      </c>
      <c r="M9" s="98">
        <v>85</v>
      </c>
      <c r="N9" s="98">
        <v>146</v>
      </c>
      <c r="O9" s="98">
        <f t="shared" si="0"/>
        <v>22041</v>
      </c>
      <c r="P9" s="98">
        <f t="shared" si="1"/>
        <v>99914</v>
      </c>
      <c r="Q9" s="99">
        <f t="shared" si="2"/>
        <v>93.474539007755709</v>
      </c>
    </row>
    <row r="10" spans="1:17" s="61" customFormat="1">
      <c r="A10" s="57">
        <v>5</v>
      </c>
      <c r="B10" s="97" t="s">
        <v>59</v>
      </c>
      <c r="C10" s="98">
        <v>12474</v>
      </c>
      <c r="D10" s="98">
        <v>52578</v>
      </c>
      <c r="E10" s="98">
        <v>4073</v>
      </c>
      <c r="F10" s="98">
        <v>33276</v>
      </c>
      <c r="G10" s="98">
        <v>560</v>
      </c>
      <c r="H10" s="98">
        <v>15982</v>
      </c>
      <c r="I10" s="98">
        <v>5</v>
      </c>
      <c r="J10" s="98">
        <v>468.38</v>
      </c>
      <c r="K10" s="98">
        <v>1</v>
      </c>
      <c r="L10" s="98">
        <v>4.88</v>
      </c>
      <c r="M10" s="98">
        <v>46</v>
      </c>
      <c r="N10" s="98">
        <v>182.85</v>
      </c>
      <c r="O10" s="98">
        <f t="shared" si="0"/>
        <v>4685</v>
      </c>
      <c r="P10" s="98">
        <f t="shared" si="1"/>
        <v>49914.109999999993</v>
      </c>
      <c r="Q10" s="99">
        <f t="shared" si="2"/>
        <v>94.933451253375921</v>
      </c>
    </row>
    <row r="11" spans="1:17" s="61" customFormat="1">
      <c r="A11" s="57">
        <v>6</v>
      </c>
      <c r="B11" s="100" t="s">
        <v>241</v>
      </c>
      <c r="C11" s="98">
        <v>252</v>
      </c>
      <c r="D11" s="98">
        <v>999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98">
        <f t="shared" si="0"/>
        <v>0</v>
      </c>
      <c r="P11" s="98">
        <f t="shared" si="1"/>
        <v>0</v>
      </c>
      <c r="Q11" s="99">
        <f t="shared" si="2"/>
        <v>0</v>
      </c>
    </row>
    <row r="12" spans="1:17" s="61" customFormat="1">
      <c r="A12" s="57">
        <v>7</v>
      </c>
      <c r="B12" s="97" t="s">
        <v>60</v>
      </c>
      <c r="C12" s="98">
        <v>6042</v>
      </c>
      <c r="D12" s="98">
        <v>21043</v>
      </c>
      <c r="E12" s="98">
        <v>4205</v>
      </c>
      <c r="F12" s="98">
        <v>8910</v>
      </c>
      <c r="G12" s="98">
        <v>117</v>
      </c>
      <c r="H12" s="98">
        <v>4415</v>
      </c>
      <c r="I12" s="98">
        <v>1</v>
      </c>
      <c r="J12" s="98">
        <v>814</v>
      </c>
      <c r="K12" s="98">
        <v>0</v>
      </c>
      <c r="L12" s="98">
        <v>0</v>
      </c>
      <c r="M12" s="98">
        <v>0</v>
      </c>
      <c r="N12" s="98">
        <v>0</v>
      </c>
      <c r="O12" s="98">
        <f t="shared" si="0"/>
        <v>4323</v>
      </c>
      <c r="P12" s="98">
        <f t="shared" si="1"/>
        <v>14139</v>
      </c>
      <c r="Q12" s="99">
        <f t="shared" si="2"/>
        <v>67.190989877869129</v>
      </c>
    </row>
    <row r="13" spans="1:17" s="61" customFormat="1">
      <c r="A13" s="57">
        <v>8</v>
      </c>
      <c r="B13" s="97" t="s">
        <v>61</v>
      </c>
      <c r="C13" s="98">
        <v>22260</v>
      </c>
      <c r="D13" s="98">
        <v>93053</v>
      </c>
      <c r="E13" s="98">
        <v>13417</v>
      </c>
      <c r="F13" s="98">
        <v>29762</v>
      </c>
      <c r="G13" s="98">
        <v>1469</v>
      </c>
      <c r="H13" s="98">
        <v>42275</v>
      </c>
      <c r="I13" s="98">
        <v>34</v>
      </c>
      <c r="J13" s="98">
        <v>3941</v>
      </c>
      <c r="K13" s="98">
        <v>87</v>
      </c>
      <c r="L13" s="98">
        <v>168</v>
      </c>
      <c r="M13" s="98">
        <v>0</v>
      </c>
      <c r="N13" s="98">
        <v>0</v>
      </c>
      <c r="O13" s="98">
        <f t="shared" si="0"/>
        <v>15007</v>
      </c>
      <c r="P13" s="98">
        <f t="shared" si="1"/>
        <v>76146</v>
      </c>
      <c r="Q13" s="99">
        <f t="shared" si="2"/>
        <v>81.830784606622032</v>
      </c>
    </row>
    <row r="14" spans="1:17" s="61" customFormat="1">
      <c r="A14" s="57">
        <v>9</v>
      </c>
      <c r="B14" s="97" t="s">
        <v>48</v>
      </c>
      <c r="C14" s="98">
        <v>2036</v>
      </c>
      <c r="D14" s="98">
        <v>7809</v>
      </c>
      <c r="E14" s="98">
        <v>2137</v>
      </c>
      <c r="F14" s="98">
        <v>634.89</v>
      </c>
      <c r="G14" s="98">
        <v>30</v>
      </c>
      <c r="H14" s="98">
        <v>1143.48</v>
      </c>
      <c r="I14" s="98">
        <v>23</v>
      </c>
      <c r="J14" s="98">
        <v>3800</v>
      </c>
      <c r="K14" s="98">
        <v>8</v>
      </c>
      <c r="L14" s="98">
        <v>350</v>
      </c>
      <c r="M14" s="98">
        <v>0</v>
      </c>
      <c r="N14" s="98">
        <v>0</v>
      </c>
      <c r="O14" s="98">
        <f t="shared" si="0"/>
        <v>2198</v>
      </c>
      <c r="P14" s="98">
        <f t="shared" si="1"/>
        <v>5928.37</v>
      </c>
      <c r="Q14" s="99">
        <f t="shared" si="2"/>
        <v>75.917146881803049</v>
      </c>
    </row>
    <row r="15" spans="1:17" s="61" customFormat="1">
      <c r="A15" s="57">
        <v>10</v>
      </c>
      <c r="B15" s="97" t="s">
        <v>49</v>
      </c>
      <c r="C15" s="98">
        <v>4760</v>
      </c>
      <c r="D15" s="98">
        <v>18738</v>
      </c>
      <c r="E15" s="98">
        <v>4205</v>
      </c>
      <c r="F15" s="98">
        <v>8910</v>
      </c>
      <c r="G15" s="98">
        <v>117</v>
      </c>
      <c r="H15" s="98">
        <v>4415</v>
      </c>
      <c r="I15" s="98">
        <v>1</v>
      </c>
      <c r="J15" s="98">
        <v>814</v>
      </c>
      <c r="K15" s="98">
        <v>0</v>
      </c>
      <c r="L15" s="98">
        <v>0</v>
      </c>
      <c r="M15" s="98">
        <v>0</v>
      </c>
      <c r="N15" s="98">
        <v>0</v>
      </c>
      <c r="O15" s="98">
        <f t="shared" si="0"/>
        <v>4323</v>
      </c>
      <c r="P15" s="98">
        <f t="shared" si="1"/>
        <v>14139</v>
      </c>
      <c r="Q15" s="99">
        <f t="shared" si="2"/>
        <v>75.456292026897216</v>
      </c>
    </row>
    <row r="16" spans="1:17" s="61" customFormat="1">
      <c r="A16" s="57">
        <v>11</v>
      </c>
      <c r="B16" s="97" t="s">
        <v>81</v>
      </c>
      <c r="C16" s="98">
        <v>5422</v>
      </c>
      <c r="D16" s="98">
        <v>19800</v>
      </c>
      <c r="E16" s="98">
        <v>20789</v>
      </c>
      <c r="F16" s="98">
        <v>65055</v>
      </c>
      <c r="G16" s="98">
        <v>941</v>
      </c>
      <c r="H16" s="98">
        <v>41588</v>
      </c>
      <c r="I16" s="98">
        <v>33</v>
      </c>
      <c r="J16" s="98">
        <v>3088</v>
      </c>
      <c r="K16" s="98">
        <v>0</v>
      </c>
      <c r="L16" s="98">
        <v>0</v>
      </c>
      <c r="M16" s="98">
        <v>0</v>
      </c>
      <c r="N16" s="98">
        <v>0</v>
      </c>
      <c r="O16" s="98">
        <f t="shared" si="0"/>
        <v>21763</v>
      </c>
      <c r="P16" s="98">
        <f t="shared" si="1"/>
        <v>109731</v>
      </c>
      <c r="Q16" s="99">
        <f t="shared" si="2"/>
        <v>554.19696969696975</v>
      </c>
    </row>
    <row r="17" spans="1:17" s="61" customFormat="1">
      <c r="A17" s="57">
        <v>12</v>
      </c>
      <c r="B17" s="97" t="s">
        <v>62</v>
      </c>
      <c r="C17" s="98">
        <v>1846</v>
      </c>
      <c r="D17" s="98">
        <v>7307</v>
      </c>
      <c r="E17" s="98">
        <v>1943</v>
      </c>
      <c r="F17" s="98">
        <v>4972</v>
      </c>
      <c r="G17" s="98">
        <v>142</v>
      </c>
      <c r="H17" s="98">
        <v>1087</v>
      </c>
      <c r="I17" s="98">
        <v>15</v>
      </c>
      <c r="J17" s="98">
        <v>157</v>
      </c>
      <c r="K17" s="98">
        <v>92</v>
      </c>
      <c r="L17" s="98">
        <v>394</v>
      </c>
      <c r="M17" s="98">
        <v>2122</v>
      </c>
      <c r="N17" s="98">
        <v>6724</v>
      </c>
      <c r="O17" s="98">
        <f t="shared" si="0"/>
        <v>4314</v>
      </c>
      <c r="P17" s="98">
        <f t="shared" si="1"/>
        <v>13334</v>
      </c>
      <c r="Q17" s="99">
        <f t="shared" si="2"/>
        <v>182.48255097851376</v>
      </c>
    </row>
    <row r="18" spans="1:17" s="61" customFormat="1">
      <c r="A18" s="57">
        <v>13</v>
      </c>
      <c r="B18" s="97" t="s">
        <v>63</v>
      </c>
      <c r="C18" s="98">
        <v>1874</v>
      </c>
      <c r="D18" s="98">
        <v>8495</v>
      </c>
      <c r="E18" s="98">
        <v>487</v>
      </c>
      <c r="F18" s="98">
        <v>2148</v>
      </c>
      <c r="G18" s="98">
        <v>21</v>
      </c>
      <c r="H18" s="98">
        <v>261</v>
      </c>
      <c r="I18" s="98">
        <v>27</v>
      </c>
      <c r="J18" s="98">
        <v>1608</v>
      </c>
      <c r="K18" s="98">
        <v>11</v>
      </c>
      <c r="L18" s="98">
        <v>73</v>
      </c>
      <c r="M18" s="98">
        <v>0</v>
      </c>
      <c r="N18" s="98">
        <v>0</v>
      </c>
      <c r="O18" s="98">
        <f t="shared" si="0"/>
        <v>546</v>
      </c>
      <c r="P18" s="98">
        <f t="shared" si="1"/>
        <v>4090</v>
      </c>
      <c r="Q18" s="99">
        <f t="shared" si="2"/>
        <v>48.145968216598</v>
      </c>
    </row>
    <row r="19" spans="1:17" s="61" customFormat="1">
      <c r="A19" s="57">
        <v>14</v>
      </c>
      <c r="B19" s="101" t="s">
        <v>206</v>
      </c>
      <c r="C19" s="98">
        <v>4046</v>
      </c>
      <c r="D19" s="98">
        <v>16253</v>
      </c>
      <c r="E19" s="98">
        <v>1610</v>
      </c>
      <c r="F19" s="98">
        <v>6186.72</v>
      </c>
      <c r="G19" s="98">
        <v>129</v>
      </c>
      <c r="H19" s="98">
        <v>1990.93</v>
      </c>
      <c r="I19" s="98">
        <v>4</v>
      </c>
      <c r="J19" s="98">
        <v>173.07</v>
      </c>
      <c r="K19" s="98">
        <v>6</v>
      </c>
      <c r="L19" s="98">
        <v>3.03</v>
      </c>
      <c r="M19" s="98">
        <v>60</v>
      </c>
      <c r="N19" s="98">
        <v>3.61</v>
      </c>
      <c r="O19" s="98">
        <f t="shared" si="0"/>
        <v>1809</v>
      </c>
      <c r="P19" s="98">
        <f t="shared" si="1"/>
        <v>8357.3600000000024</v>
      </c>
      <c r="Q19" s="99">
        <f t="shared" si="2"/>
        <v>51.420414692672139</v>
      </c>
    </row>
    <row r="20" spans="1:17" s="61" customFormat="1">
      <c r="A20" s="57">
        <v>15</v>
      </c>
      <c r="B20" s="97" t="s">
        <v>207</v>
      </c>
      <c r="C20" s="98">
        <v>2008</v>
      </c>
      <c r="D20" s="98">
        <v>8121</v>
      </c>
      <c r="E20" s="98">
        <v>1029</v>
      </c>
      <c r="F20" s="98">
        <v>4741.3999999999996</v>
      </c>
      <c r="G20" s="98">
        <v>88</v>
      </c>
      <c r="H20" s="98">
        <v>5623.75</v>
      </c>
      <c r="I20" s="98">
        <v>2</v>
      </c>
      <c r="J20" s="98">
        <v>1130</v>
      </c>
      <c r="K20" s="98">
        <v>0</v>
      </c>
      <c r="L20" s="98">
        <v>0</v>
      </c>
      <c r="M20" s="98">
        <v>0</v>
      </c>
      <c r="N20" s="98">
        <v>0</v>
      </c>
      <c r="O20" s="98">
        <f t="shared" si="0"/>
        <v>1119</v>
      </c>
      <c r="P20" s="98">
        <f t="shared" si="1"/>
        <v>11495.15</v>
      </c>
      <c r="Q20" s="99">
        <f t="shared" si="2"/>
        <v>141.54845462381479</v>
      </c>
    </row>
    <row r="21" spans="1:17" s="61" customFormat="1">
      <c r="A21" s="57">
        <v>16</v>
      </c>
      <c r="B21" s="97" t="s">
        <v>64</v>
      </c>
      <c r="C21" s="98">
        <v>28512</v>
      </c>
      <c r="D21" s="98">
        <v>122478</v>
      </c>
      <c r="E21" s="98">
        <v>21332</v>
      </c>
      <c r="F21" s="98">
        <v>107735</v>
      </c>
      <c r="G21" s="98">
        <v>1770</v>
      </c>
      <c r="H21" s="98">
        <v>97628</v>
      </c>
      <c r="I21" s="98">
        <v>104</v>
      </c>
      <c r="J21" s="98">
        <v>26071</v>
      </c>
      <c r="K21" s="98">
        <v>23</v>
      </c>
      <c r="L21" s="98">
        <v>47</v>
      </c>
      <c r="M21" s="98">
        <v>0</v>
      </c>
      <c r="N21" s="98">
        <v>0</v>
      </c>
      <c r="O21" s="98">
        <f t="shared" si="0"/>
        <v>23229</v>
      </c>
      <c r="P21" s="98">
        <f t="shared" si="1"/>
        <v>231481</v>
      </c>
      <c r="Q21" s="99">
        <f t="shared" si="2"/>
        <v>188.99802413494669</v>
      </c>
    </row>
    <row r="22" spans="1:17" s="61" customFormat="1">
      <c r="A22" s="57">
        <v>17</v>
      </c>
      <c r="B22" s="102" t="s">
        <v>69</v>
      </c>
      <c r="C22" s="98">
        <v>326</v>
      </c>
      <c r="D22" s="98">
        <v>1762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98">
        <f t="shared" si="0"/>
        <v>0</v>
      </c>
      <c r="P22" s="98">
        <f t="shared" si="1"/>
        <v>0</v>
      </c>
      <c r="Q22" s="99">
        <f t="shared" si="2"/>
        <v>0</v>
      </c>
    </row>
    <row r="23" spans="1:17" s="61" customFormat="1">
      <c r="A23" s="57">
        <v>18</v>
      </c>
      <c r="B23" s="97" t="s">
        <v>208</v>
      </c>
      <c r="C23" s="98">
        <v>298</v>
      </c>
      <c r="D23" s="98">
        <v>1375</v>
      </c>
      <c r="E23" s="98">
        <v>18</v>
      </c>
      <c r="F23" s="98">
        <v>29.79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98">
        <f t="shared" si="0"/>
        <v>18</v>
      </c>
      <c r="P23" s="98">
        <f t="shared" si="1"/>
        <v>29.79</v>
      </c>
      <c r="Q23" s="99">
        <f t="shared" si="2"/>
        <v>2.1665454545454543</v>
      </c>
    </row>
    <row r="24" spans="1:17" s="61" customFormat="1">
      <c r="A24" s="57">
        <v>19</v>
      </c>
      <c r="B24" s="103" t="s">
        <v>209</v>
      </c>
      <c r="C24" s="98">
        <v>896</v>
      </c>
      <c r="D24" s="98">
        <v>4096</v>
      </c>
      <c r="E24" s="98">
        <v>92</v>
      </c>
      <c r="F24" s="98">
        <v>475.9</v>
      </c>
      <c r="G24" s="98">
        <v>13</v>
      </c>
      <c r="H24" s="98">
        <v>275</v>
      </c>
      <c r="I24" s="98">
        <v>0</v>
      </c>
      <c r="J24" s="98">
        <v>0</v>
      </c>
      <c r="K24" s="98">
        <v>0</v>
      </c>
      <c r="L24" s="98">
        <v>0</v>
      </c>
      <c r="M24" s="98">
        <v>0</v>
      </c>
      <c r="N24" s="98">
        <v>0</v>
      </c>
      <c r="O24" s="98">
        <f t="shared" si="0"/>
        <v>105</v>
      </c>
      <c r="P24" s="98">
        <f t="shared" si="1"/>
        <v>750.9</v>
      </c>
      <c r="Q24" s="99">
        <f t="shared" si="2"/>
        <v>18.33251953125</v>
      </c>
    </row>
    <row r="25" spans="1:17" s="61" customFormat="1">
      <c r="A25" s="57">
        <v>20</v>
      </c>
      <c r="B25" s="97" t="s">
        <v>210</v>
      </c>
      <c r="C25" s="98">
        <v>2994</v>
      </c>
      <c r="D25" s="98">
        <v>16183</v>
      </c>
      <c r="E25" s="98">
        <v>12</v>
      </c>
      <c r="F25" s="98">
        <v>50</v>
      </c>
      <c r="G25" s="98">
        <v>43</v>
      </c>
      <c r="H25" s="98">
        <v>100</v>
      </c>
      <c r="I25" s="98">
        <v>308</v>
      </c>
      <c r="J25" s="98">
        <v>305</v>
      </c>
      <c r="K25" s="98">
        <v>0</v>
      </c>
      <c r="L25" s="98">
        <v>0</v>
      </c>
      <c r="M25" s="98">
        <v>15</v>
      </c>
      <c r="N25" s="98">
        <v>200</v>
      </c>
      <c r="O25" s="98">
        <f t="shared" si="0"/>
        <v>378</v>
      </c>
      <c r="P25" s="98">
        <f t="shared" si="1"/>
        <v>655</v>
      </c>
      <c r="Q25" s="99">
        <f t="shared" si="2"/>
        <v>4.0474572081814246</v>
      </c>
    </row>
    <row r="26" spans="1:17" s="61" customFormat="1">
      <c r="A26" s="57">
        <v>21</v>
      </c>
      <c r="B26" s="97" t="s">
        <v>211</v>
      </c>
      <c r="C26" s="98">
        <v>966</v>
      </c>
      <c r="D26" s="98">
        <v>4326</v>
      </c>
      <c r="E26" s="98">
        <v>283</v>
      </c>
      <c r="F26" s="98">
        <v>533</v>
      </c>
      <c r="G26" s="98">
        <v>3</v>
      </c>
      <c r="H26" s="98">
        <v>2</v>
      </c>
      <c r="I26" s="98">
        <v>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f t="shared" si="0"/>
        <v>286</v>
      </c>
      <c r="P26" s="98">
        <f t="shared" si="1"/>
        <v>535</v>
      </c>
      <c r="Q26" s="99">
        <f t="shared" si="2"/>
        <v>12.36708275543227</v>
      </c>
    </row>
    <row r="27" spans="1:17" s="61" customFormat="1">
      <c r="A27" s="57">
        <v>22</v>
      </c>
      <c r="B27" s="97" t="s">
        <v>70</v>
      </c>
      <c r="C27" s="98">
        <v>117829</v>
      </c>
      <c r="D27" s="98">
        <v>451789</v>
      </c>
      <c r="E27" s="98">
        <v>20441</v>
      </c>
      <c r="F27" s="98">
        <v>45256</v>
      </c>
      <c r="G27" s="98">
        <v>2405</v>
      </c>
      <c r="H27" s="98">
        <v>77843</v>
      </c>
      <c r="I27" s="98">
        <v>111</v>
      </c>
      <c r="J27" s="98">
        <v>30456</v>
      </c>
      <c r="K27" s="98">
        <v>108</v>
      </c>
      <c r="L27" s="98">
        <v>850</v>
      </c>
      <c r="M27" s="98">
        <v>0</v>
      </c>
      <c r="N27" s="98">
        <v>0</v>
      </c>
      <c r="O27" s="98">
        <f t="shared" si="0"/>
        <v>23065</v>
      </c>
      <c r="P27" s="98">
        <f t="shared" si="1"/>
        <v>154405</v>
      </c>
      <c r="Q27" s="99">
        <f t="shared" si="2"/>
        <v>34.176352235224847</v>
      </c>
    </row>
    <row r="28" spans="1:17" s="61" customFormat="1">
      <c r="A28" s="57">
        <v>23</v>
      </c>
      <c r="B28" s="97" t="s">
        <v>65</v>
      </c>
      <c r="C28" s="98">
        <v>3768</v>
      </c>
      <c r="D28" s="98">
        <v>16286</v>
      </c>
      <c r="E28" s="98">
        <v>5391</v>
      </c>
      <c r="F28" s="98">
        <v>12304</v>
      </c>
      <c r="G28" s="98">
        <v>369</v>
      </c>
      <c r="H28" s="98">
        <v>6264</v>
      </c>
      <c r="I28" s="98">
        <v>14</v>
      </c>
      <c r="J28" s="98">
        <v>1092</v>
      </c>
      <c r="K28" s="98">
        <v>4</v>
      </c>
      <c r="L28" s="98">
        <v>40</v>
      </c>
      <c r="M28" s="98">
        <v>8009</v>
      </c>
      <c r="N28" s="98">
        <v>17885</v>
      </c>
      <c r="O28" s="98">
        <f t="shared" si="0"/>
        <v>13787</v>
      </c>
      <c r="P28" s="98">
        <f t="shared" si="1"/>
        <v>37585</v>
      </c>
      <c r="Q28" s="99">
        <f t="shared" si="2"/>
        <v>230.7810389291416</v>
      </c>
    </row>
    <row r="29" spans="1:17" s="61" customFormat="1">
      <c r="A29" s="57">
        <v>24</v>
      </c>
      <c r="B29" s="97" t="s">
        <v>212</v>
      </c>
      <c r="C29" s="98">
        <v>12924</v>
      </c>
      <c r="D29" s="98">
        <v>57574</v>
      </c>
      <c r="E29" s="98">
        <v>1178</v>
      </c>
      <c r="F29" s="98">
        <v>11603</v>
      </c>
      <c r="G29" s="98">
        <v>113</v>
      </c>
      <c r="H29" s="98">
        <v>974</v>
      </c>
      <c r="I29" s="98">
        <v>0</v>
      </c>
      <c r="J29" s="98">
        <v>0</v>
      </c>
      <c r="K29" s="98">
        <v>1</v>
      </c>
      <c r="L29" s="98">
        <v>3</v>
      </c>
      <c r="M29" s="98">
        <v>403</v>
      </c>
      <c r="N29" s="98">
        <v>643</v>
      </c>
      <c r="O29" s="98">
        <f t="shared" si="0"/>
        <v>1695</v>
      </c>
      <c r="P29" s="98">
        <f t="shared" si="1"/>
        <v>13223</v>
      </c>
      <c r="Q29" s="99">
        <f t="shared" si="2"/>
        <v>22.966964254698301</v>
      </c>
    </row>
    <row r="30" spans="1:17" s="61" customFormat="1">
      <c r="A30" s="57">
        <v>25</v>
      </c>
      <c r="B30" s="97" t="s">
        <v>66</v>
      </c>
      <c r="C30" s="98">
        <v>16712</v>
      </c>
      <c r="D30" s="98">
        <v>47945</v>
      </c>
      <c r="E30" s="98">
        <v>5113</v>
      </c>
      <c r="F30" s="98">
        <v>9237</v>
      </c>
      <c r="G30" s="98">
        <v>641</v>
      </c>
      <c r="H30" s="98">
        <v>5275</v>
      </c>
      <c r="I30" s="98">
        <v>413</v>
      </c>
      <c r="J30" s="98">
        <v>22273</v>
      </c>
      <c r="K30" s="98">
        <v>128</v>
      </c>
      <c r="L30" s="98">
        <v>732</v>
      </c>
      <c r="M30" s="98">
        <v>0</v>
      </c>
      <c r="N30" s="98">
        <v>0</v>
      </c>
      <c r="O30" s="98">
        <f t="shared" si="0"/>
        <v>6295</v>
      </c>
      <c r="P30" s="98">
        <f t="shared" si="1"/>
        <v>37517</v>
      </c>
      <c r="Q30" s="99">
        <f t="shared" si="2"/>
        <v>78.250078214620913</v>
      </c>
    </row>
    <row r="31" spans="1:17" s="61" customFormat="1">
      <c r="A31" s="57">
        <v>26</v>
      </c>
      <c r="B31" s="100" t="s">
        <v>67</v>
      </c>
      <c r="C31" s="98">
        <v>1228</v>
      </c>
      <c r="D31" s="98">
        <v>5724</v>
      </c>
      <c r="E31" s="98">
        <v>806</v>
      </c>
      <c r="F31" s="98">
        <v>4072</v>
      </c>
      <c r="G31" s="98">
        <v>1</v>
      </c>
      <c r="H31" s="98">
        <v>21</v>
      </c>
      <c r="I31" s="98">
        <v>275</v>
      </c>
      <c r="J31" s="98">
        <v>2193</v>
      </c>
      <c r="K31" s="98">
        <v>2</v>
      </c>
      <c r="L31" s="98">
        <v>3</v>
      </c>
      <c r="M31" s="98">
        <v>0</v>
      </c>
      <c r="N31" s="98">
        <v>0</v>
      </c>
      <c r="O31" s="98">
        <f t="shared" si="0"/>
        <v>1084</v>
      </c>
      <c r="P31" s="98">
        <f t="shared" si="1"/>
        <v>6289</v>
      </c>
      <c r="Q31" s="99">
        <f t="shared" si="2"/>
        <v>109.87071977638016</v>
      </c>
    </row>
    <row r="32" spans="1:17" s="61" customFormat="1">
      <c r="A32" s="57">
        <v>27</v>
      </c>
      <c r="B32" s="97" t="s">
        <v>50</v>
      </c>
      <c r="C32" s="98">
        <v>1648</v>
      </c>
      <c r="D32" s="98">
        <v>6743</v>
      </c>
      <c r="E32" s="98">
        <v>5829</v>
      </c>
      <c r="F32" s="98">
        <v>19479.669999999998</v>
      </c>
      <c r="G32" s="98">
        <v>362</v>
      </c>
      <c r="H32" s="98">
        <v>9725.4500000000007</v>
      </c>
      <c r="I32" s="98">
        <v>2</v>
      </c>
      <c r="J32" s="98">
        <v>996.17</v>
      </c>
      <c r="K32" s="98">
        <v>0</v>
      </c>
      <c r="L32" s="98">
        <v>0</v>
      </c>
      <c r="M32" s="98">
        <v>2021</v>
      </c>
      <c r="N32" s="98">
        <v>5081.8</v>
      </c>
      <c r="O32" s="98">
        <f t="shared" si="0"/>
        <v>8214</v>
      </c>
      <c r="P32" s="98">
        <f t="shared" si="1"/>
        <v>35283.089999999997</v>
      </c>
      <c r="Q32" s="99">
        <f t="shared" si="2"/>
        <v>523.25507934153927</v>
      </c>
    </row>
    <row r="33" spans="1:17" s="107" customFormat="1">
      <c r="A33" s="294"/>
      <c r="B33" s="104" t="s">
        <v>213</v>
      </c>
      <c r="C33" s="105">
        <f>SUM(C6:C32)</f>
        <v>281421</v>
      </c>
      <c r="D33" s="105">
        <f>SUM(D6:D32)</f>
        <v>1194825</v>
      </c>
      <c r="E33" s="105">
        <f t="shared" ref="E33:N33" si="3">SUM(E6:E32)</f>
        <v>147187</v>
      </c>
      <c r="F33" s="105">
        <f t="shared" si="3"/>
        <v>457886.48</v>
      </c>
      <c r="G33" s="105">
        <f t="shared" si="3"/>
        <v>13769</v>
      </c>
      <c r="H33" s="105">
        <f t="shared" si="3"/>
        <v>395694.84</v>
      </c>
      <c r="I33" s="105">
        <f t="shared" si="3"/>
        <v>1825</v>
      </c>
      <c r="J33" s="105">
        <f t="shared" si="3"/>
        <v>131861.30000000002</v>
      </c>
      <c r="K33" s="105">
        <f t="shared" si="3"/>
        <v>718</v>
      </c>
      <c r="L33" s="105">
        <f t="shared" si="3"/>
        <v>3892.9100000000003</v>
      </c>
      <c r="M33" s="105">
        <f t="shared" si="3"/>
        <v>12873</v>
      </c>
      <c r="N33" s="105">
        <f t="shared" si="3"/>
        <v>31292.26</v>
      </c>
      <c r="O33" s="105">
        <f t="shared" ref="O33" si="4">SUM(O6:O32)</f>
        <v>176372</v>
      </c>
      <c r="P33" s="105">
        <f t="shared" ref="P33" si="5">SUM(P6:P32)</f>
        <v>1020627.79</v>
      </c>
      <c r="Q33" s="96">
        <f t="shared" si="2"/>
        <v>85.420692570041638</v>
      </c>
    </row>
    <row r="34" spans="1:17" s="61" customFormat="1">
      <c r="A34" s="57">
        <v>28</v>
      </c>
      <c r="B34" s="97" t="s">
        <v>47</v>
      </c>
      <c r="C34" s="98">
        <v>10504</v>
      </c>
      <c r="D34" s="98">
        <v>50015</v>
      </c>
      <c r="E34" s="98">
        <v>1669</v>
      </c>
      <c r="F34" s="98">
        <v>17129.599999999999</v>
      </c>
      <c r="G34" s="98">
        <v>660</v>
      </c>
      <c r="H34" s="98">
        <v>17076.54</v>
      </c>
      <c r="I34" s="98">
        <v>133</v>
      </c>
      <c r="J34" s="98">
        <v>7330.23</v>
      </c>
      <c r="K34" s="98">
        <v>0</v>
      </c>
      <c r="L34" s="98">
        <v>0</v>
      </c>
      <c r="M34" s="98">
        <v>0</v>
      </c>
      <c r="N34" s="98">
        <v>0</v>
      </c>
      <c r="O34" s="98">
        <f t="shared" ref="O34:O43" si="6">E34+G34+I34+K34+M34</f>
        <v>2462</v>
      </c>
      <c r="P34" s="98">
        <f t="shared" ref="P34:P43" si="7">F34+H34+J34+L34+N34</f>
        <v>41536.369999999995</v>
      </c>
      <c r="Q34" s="99">
        <f t="shared" si="2"/>
        <v>83.047825652304297</v>
      </c>
    </row>
    <row r="35" spans="1:17" s="61" customFormat="1">
      <c r="A35" s="57">
        <v>29</v>
      </c>
      <c r="B35" s="97" t="s">
        <v>214</v>
      </c>
      <c r="C35" s="98">
        <v>132</v>
      </c>
      <c r="D35" s="98">
        <v>468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135100</v>
      </c>
      <c r="N35" s="98">
        <v>43646.64</v>
      </c>
      <c r="O35" s="98">
        <f t="shared" si="6"/>
        <v>135100</v>
      </c>
      <c r="P35" s="98">
        <f t="shared" si="7"/>
        <v>43646.64</v>
      </c>
      <c r="Q35" s="99">
        <f t="shared" si="2"/>
        <v>9326.2051282051289</v>
      </c>
    </row>
    <row r="36" spans="1:17" s="61" customFormat="1">
      <c r="A36" s="57">
        <v>30</v>
      </c>
      <c r="B36" s="58" t="s">
        <v>215</v>
      </c>
      <c r="C36" s="98">
        <v>0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8">
        <v>0</v>
      </c>
      <c r="K36" s="98">
        <v>0</v>
      </c>
      <c r="L36" s="98">
        <v>0</v>
      </c>
      <c r="M36" s="98">
        <v>0</v>
      </c>
      <c r="N36" s="98">
        <v>0</v>
      </c>
      <c r="O36" s="98">
        <f t="shared" si="6"/>
        <v>0</v>
      </c>
      <c r="P36" s="98">
        <f t="shared" si="7"/>
        <v>0</v>
      </c>
      <c r="Q36" s="99">
        <v>0</v>
      </c>
    </row>
    <row r="37" spans="1:17" s="61" customFormat="1">
      <c r="A37" s="57">
        <v>31</v>
      </c>
      <c r="B37" s="58" t="s">
        <v>78</v>
      </c>
      <c r="C37" s="98">
        <v>0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v>0</v>
      </c>
      <c r="O37" s="98">
        <f t="shared" si="6"/>
        <v>0</v>
      </c>
      <c r="P37" s="98">
        <f t="shared" si="7"/>
        <v>0</v>
      </c>
      <c r="Q37" s="99">
        <v>0</v>
      </c>
    </row>
    <row r="38" spans="1:17" s="61" customFormat="1">
      <c r="A38" s="57">
        <v>32</v>
      </c>
      <c r="B38" s="97" t="s">
        <v>51</v>
      </c>
      <c r="C38" s="98">
        <v>166</v>
      </c>
      <c r="D38" s="98">
        <v>906</v>
      </c>
      <c r="E38" s="98">
        <v>3</v>
      </c>
      <c r="F38" s="98">
        <v>59.71</v>
      </c>
      <c r="G38" s="98">
        <v>3</v>
      </c>
      <c r="H38" s="98">
        <v>130.5</v>
      </c>
      <c r="I38" s="98">
        <v>3</v>
      </c>
      <c r="J38" s="98">
        <v>122.51</v>
      </c>
      <c r="K38" s="98">
        <v>0</v>
      </c>
      <c r="L38" s="98">
        <v>0</v>
      </c>
      <c r="M38" s="98">
        <v>0</v>
      </c>
      <c r="N38" s="98">
        <v>0</v>
      </c>
      <c r="O38" s="98">
        <f t="shared" si="6"/>
        <v>9</v>
      </c>
      <c r="P38" s="98">
        <f t="shared" si="7"/>
        <v>312.72000000000003</v>
      </c>
      <c r="Q38" s="99">
        <f t="shared" ref="Q38:Q43" si="8">P38*100/D38</f>
        <v>34.516556291390735</v>
      </c>
    </row>
    <row r="39" spans="1:17" s="61" customFormat="1">
      <c r="A39" s="57">
        <v>33</v>
      </c>
      <c r="B39" s="97" t="s">
        <v>216</v>
      </c>
      <c r="C39" s="98">
        <v>19</v>
      </c>
      <c r="D39" s="98">
        <v>226</v>
      </c>
      <c r="E39" s="98">
        <v>2957</v>
      </c>
      <c r="F39" s="98">
        <v>13005</v>
      </c>
      <c r="G39" s="98">
        <v>312</v>
      </c>
      <c r="H39" s="98">
        <v>4828</v>
      </c>
      <c r="I39" s="98">
        <v>2</v>
      </c>
      <c r="J39" s="98">
        <v>74</v>
      </c>
      <c r="K39" s="98">
        <v>0</v>
      </c>
      <c r="L39" s="98">
        <v>0</v>
      </c>
      <c r="M39" s="98">
        <v>0</v>
      </c>
      <c r="N39" s="98">
        <v>0</v>
      </c>
      <c r="O39" s="98">
        <f t="shared" si="6"/>
        <v>3271</v>
      </c>
      <c r="P39" s="98">
        <f t="shared" si="7"/>
        <v>17907</v>
      </c>
      <c r="Q39" s="99">
        <f t="shared" si="8"/>
        <v>7923.4513274336286</v>
      </c>
    </row>
    <row r="40" spans="1:17" s="61" customFormat="1">
      <c r="A40" s="57">
        <v>34</v>
      </c>
      <c r="B40" s="97" t="s">
        <v>217</v>
      </c>
      <c r="C40" s="98">
        <v>104</v>
      </c>
      <c r="D40" s="98">
        <v>399</v>
      </c>
      <c r="E40" s="98">
        <v>0</v>
      </c>
      <c r="F40" s="98">
        <v>0</v>
      </c>
      <c r="G40" s="98">
        <v>0</v>
      </c>
      <c r="H40" s="98">
        <v>0</v>
      </c>
      <c r="I40" s="98">
        <v>0</v>
      </c>
      <c r="J40" s="98">
        <v>0</v>
      </c>
      <c r="K40" s="98">
        <v>0</v>
      </c>
      <c r="L40" s="98">
        <v>0</v>
      </c>
      <c r="M40" s="98">
        <v>0</v>
      </c>
      <c r="N40" s="98">
        <v>0</v>
      </c>
      <c r="O40" s="98">
        <f t="shared" si="6"/>
        <v>0</v>
      </c>
      <c r="P40" s="98">
        <f t="shared" si="7"/>
        <v>0</v>
      </c>
      <c r="Q40" s="99">
        <f t="shared" si="8"/>
        <v>0</v>
      </c>
    </row>
    <row r="41" spans="1:17" s="61" customFormat="1">
      <c r="A41" s="57">
        <v>35</v>
      </c>
      <c r="B41" s="97" t="s">
        <v>218</v>
      </c>
      <c r="C41" s="98">
        <v>575</v>
      </c>
      <c r="D41" s="98">
        <v>2268</v>
      </c>
      <c r="E41" s="98">
        <v>64</v>
      </c>
      <c r="F41" s="98">
        <v>1530</v>
      </c>
      <c r="G41" s="98">
        <v>15</v>
      </c>
      <c r="H41" s="98">
        <v>670</v>
      </c>
      <c r="I41" s="98">
        <v>1</v>
      </c>
      <c r="J41" s="98">
        <v>850</v>
      </c>
      <c r="K41" s="98">
        <v>0</v>
      </c>
      <c r="L41" s="98">
        <v>0</v>
      </c>
      <c r="M41" s="98">
        <v>0</v>
      </c>
      <c r="N41" s="98">
        <v>0</v>
      </c>
      <c r="O41" s="98">
        <f t="shared" si="6"/>
        <v>80</v>
      </c>
      <c r="P41" s="98">
        <f t="shared" si="7"/>
        <v>3050</v>
      </c>
      <c r="Q41" s="99">
        <f t="shared" si="8"/>
        <v>134.47971781305114</v>
      </c>
    </row>
    <row r="42" spans="1:17" s="61" customFormat="1">
      <c r="A42" s="57">
        <v>36</v>
      </c>
      <c r="B42" s="97" t="s">
        <v>71</v>
      </c>
      <c r="C42" s="98">
        <v>13760</v>
      </c>
      <c r="D42" s="98">
        <v>65246</v>
      </c>
      <c r="E42" s="98">
        <v>77928</v>
      </c>
      <c r="F42" s="98">
        <v>85091.77</v>
      </c>
      <c r="G42" s="98">
        <v>2764</v>
      </c>
      <c r="H42" s="98">
        <v>61732.9</v>
      </c>
      <c r="I42" s="98">
        <v>177</v>
      </c>
      <c r="J42" s="98">
        <v>9032.0300000000007</v>
      </c>
      <c r="K42" s="98">
        <v>0</v>
      </c>
      <c r="L42" s="98">
        <v>0</v>
      </c>
      <c r="M42" s="98">
        <v>0</v>
      </c>
      <c r="N42" s="98">
        <v>0</v>
      </c>
      <c r="O42" s="98">
        <f t="shared" si="6"/>
        <v>80869</v>
      </c>
      <c r="P42" s="98">
        <f t="shared" si="7"/>
        <v>155856.70000000001</v>
      </c>
      <c r="Q42" s="99">
        <f t="shared" si="8"/>
        <v>238.87548661986943</v>
      </c>
    </row>
    <row r="43" spans="1:17" s="61" customFormat="1">
      <c r="A43" s="57">
        <v>37</v>
      </c>
      <c r="B43" s="97" t="s">
        <v>72</v>
      </c>
      <c r="C43" s="98">
        <v>12948</v>
      </c>
      <c r="D43" s="98">
        <v>58329</v>
      </c>
      <c r="E43" s="98">
        <v>2442</v>
      </c>
      <c r="F43" s="98">
        <v>114532</v>
      </c>
      <c r="G43" s="98">
        <v>5831</v>
      </c>
      <c r="H43" s="98">
        <v>87848</v>
      </c>
      <c r="I43" s="98">
        <v>93</v>
      </c>
      <c r="J43" s="98">
        <v>6670</v>
      </c>
      <c r="K43" s="98">
        <v>0</v>
      </c>
      <c r="L43" s="98">
        <v>0</v>
      </c>
      <c r="M43" s="98">
        <v>0</v>
      </c>
      <c r="N43" s="98">
        <v>0</v>
      </c>
      <c r="O43" s="98">
        <f t="shared" si="6"/>
        <v>8366</v>
      </c>
      <c r="P43" s="98">
        <f t="shared" si="7"/>
        <v>209050</v>
      </c>
      <c r="Q43" s="99">
        <f t="shared" si="8"/>
        <v>358.39805242675169</v>
      </c>
    </row>
    <row r="44" spans="1:17" s="61" customFormat="1">
      <c r="A44" s="57">
        <v>38</v>
      </c>
      <c r="B44" s="97" t="s">
        <v>219</v>
      </c>
      <c r="C44" s="98">
        <v>0</v>
      </c>
      <c r="D44" s="98">
        <v>0</v>
      </c>
      <c r="E44" s="98">
        <v>81240</v>
      </c>
      <c r="F44" s="98">
        <v>12912.25</v>
      </c>
      <c r="G44" s="98">
        <v>273</v>
      </c>
      <c r="H44" s="98">
        <v>174.17</v>
      </c>
      <c r="I44" s="98">
        <v>14</v>
      </c>
      <c r="J44" s="98">
        <v>9.1</v>
      </c>
      <c r="K44" s="98">
        <v>179</v>
      </c>
      <c r="L44" s="98">
        <v>119.94</v>
      </c>
      <c r="M44" s="98">
        <v>0</v>
      </c>
      <c r="N44" s="98">
        <v>0</v>
      </c>
      <c r="O44" s="98">
        <f t="shared" ref="O44" si="9">E44+G44+I44+K44+M44</f>
        <v>81706</v>
      </c>
      <c r="P44" s="98">
        <f t="shared" ref="P44" si="10">F44+H44+J44+L44+N44</f>
        <v>13215.460000000001</v>
      </c>
      <c r="Q44" s="99">
        <v>0</v>
      </c>
    </row>
    <row r="45" spans="1:17" s="61" customFormat="1">
      <c r="A45" s="57">
        <v>39</v>
      </c>
      <c r="B45" s="97" t="s">
        <v>220</v>
      </c>
      <c r="C45" s="98">
        <v>3170</v>
      </c>
      <c r="D45" s="98">
        <v>16864</v>
      </c>
      <c r="E45" s="98">
        <v>0</v>
      </c>
      <c r="F45" s="98">
        <v>0</v>
      </c>
      <c r="G45" s="98">
        <v>3825</v>
      </c>
      <c r="H45" s="98">
        <v>21233.65</v>
      </c>
      <c r="I45" s="98">
        <v>5</v>
      </c>
      <c r="J45" s="98">
        <v>1714.9</v>
      </c>
      <c r="K45" s="98">
        <v>0</v>
      </c>
      <c r="L45" s="98">
        <v>0</v>
      </c>
      <c r="M45" s="98">
        <v>0</v>
      </c>
      <c r="N45" s="98">
        <v>0</v>
      </c>
      <c r="O45" s="98">
        <f t="shared" ref="O45:O55" si="11">E45+G45+I45+K45+M45</f>
        <v>3830</v>
      </c>
      <c r="P45" s="98">
        <f t="shared" ref="P45:P55" si="12">F45+H45+J45+L45+N45</f>
        <v>22948.550000000003</v>
      </c>
      <c r="Q45" s="99">
        <f t="shared" ref="Q45:Q52" si="13">P45*100/D45</f>
        <v>136.08011148007594</v>
      </c>
    </row>
    <row r="46" spans="1:17" s="61" customFormat="1">
      <c r="A46" s="57">
        <v>40</v>
      </c>
      <c r="B46" s="97" t="s">
        <v>221</v>
      </c>
      <c r="C46" s="98">
        <v>468</v>
      </c>
      <c r="D46" s="98">
        <v>2748</v>
      </c>
      <c r="E46" s="98">
        <v>0</v>
      </c>
      <c r="F46" s="98">
        <v>0</v>
      </c>
      <c r="G46" s="98">
        <v>7</v>
      </c>
      <c r="H46" s="98">
        <v>29</v>
      </c>
      <c r="I46" s="98">
        <v>0</v>
      </c>
      <c r="J46" s="98">
        <v>0</v>
      </c>
      <c r="K46" s="98">
        <v>0</v>
      </c>
      <c r="L46" s="98">
        <v>0</v>
      </c>
      <c r="M46" s="98">
        <v>0</v>
      </c>
      <c r="N46" s="98">
        <v>0</v>
      </c>
      <c r="O46" s="98">
        <f t="shared" si="11"/>
        <v>7</v>
      </c>
      <c r="P46" s="98">
        <f t="shared" si="12"/>
        <v>29</v>
      </c>
      <c r="Q46" s="99">
        <f t="shared" si="13"/>
        <v>1.0553129548762736</v>
      </c>
    </row>
    <row r="47" spans="1:17" s="61" customFormat="1">
      <c r="A47" s="57">
        <v>41</v>
      </c>
      <c r="B47" s="97" t="s">
        <v>222</v>
      </c>
      <c r="C47" s="98">
        <v>792</v>
      </c>
      <c r="D47" s="98">
        <v>3084</v>
      </c>
      <c r="E47" s="98">
        <v>27</v>
      </c>
      <c r="F47" s="98">
        <v>71.5</v>
      </c>
      <c r="G47" s="98">
        <v>19</v>
      </c>
      <c r="H47" s="98">
        <v>555.41999999999996</v>
      </c>
      <c r="I47" s="98">
        <v>3</v>
      </c>
      <c r="J47" s="98">
        <v>365</v>
      </c>
      <c r="K47" s="98">
        <v>0</v>
      </c>
      <c r="L47" s="98">
        <v>0</v>
      </c>
      <c r="M47" s="98">
        <v>39</v>
      </c>
      <c r="N47" s="98">
        <v>1813.49</v>
      </c>
      <c r="O47" s="98">
        <f t="shared" si="11"/>
        <v>88</v>
      </c>
      <c r="P47" s="98">
        <f t="shared" si="12"/>
        <v>2805.41</v>
      </c>
      <c r="Q47" s="99">
        <f t="shared" si="13"/>
        <v>90.966601815823608</v>
      </c>
    </row>
    <row r="48" spans="1:17" s="61" customFormat="1">
      <c r="A48" s="57">
        <v>42</v>
      </c>
      <c r="B48" s="97" t="s">
        <v>223</v>
      </c>
      <c r="C48" s="98">
        <v>238</v>
      </c>
      <c r="D48" s="98">
        <v>1273</v>
      </c>
      <c r="E48" s="98">
        <v>0</v>
      </c>
      <c r="F48" s="98">
        <v>0</v>
      </c>
      <c r="G48" s="98">
        <v>0</v>
      </c>
      <c r="H48" s="98">
        <v>0</v>
      </c>
      <c r="I48" s="98">
        <v>0</v>
      </c>
      <c r="J48" s="98">
        <v>0</v>
      </c>
      <c r="K48" s="98">
        <v>0</v>
      </c>
      <c r="L48" s="98">
        <v>0</v>
      </c>
      <c r="M48" s="98">
        <v>0</v>
      </c>
      <c r="N48" s="98">
        <v>0</v>
      </c>
      <c r="O48" s="98">
        <f t="shared" si="11"/>
        <v>0</v>
      </c>
      <c r="P48" s="98">
        <f t="shared" si="12"/>
        <v>0</v>
      </c>
      <c r="Q48" s="99">
        <f t="shared" si="13"/>
        <v>0</v>
      </c>
    </row>
    <row r="49" spans="1:17" s="61" customFormat="1">
      <c r="A49" s="57">
        <v>43</v>
      </c>
      <c r="B49" s="106" t="s">
        <v>73</v>
      </c>
      <c r="C49" s="98">
        <v>3716</v>
      </c>
      <c r="D49" s="98">
        <v>20050</v>
      </c>
      <c r="E49" s="98">
        <v>558</v>
      </c>
      <c r="F49" s="98">
        <v>7928</v>
      </c>
      <c r="G49" s="98">
        <v>965</v>
      </c>
      <c r="H49" s="98">
        <v>15594</v>
      </c>
      <c r="I49" s="98">
        <v>102</v>
      </c>
      <c r="J49" s="98">
        <v>2528</v>
      </c>
      <c r="K49" s="98">
        <v>0</v>
      </c>
      <c r="L49" s="98">
        <v>0</v>
      </c>
      <c r="M49" s="98">
        <v>0</v>
      </c>
      <c r="N49" s="98">
        <v>0</v>
      </c>
      <c r="O49" s="98">
        <f t="shared" si="11"/>
        <v>1625</v>
      </c>
      <c r="P49" s="98">
        <f t="shared" si="12"/>
        <v>26050</v>
      </c>
      <c r="Q49" s="99">
        <f t="shared" si="13"/>
        <v>129.92518703241896</v>
      </c>
    </row>
    <row r="50" spans="1:17" s="61" customFormat="1">
      <c r="A50" s="57">
        <v>44</v>
      </c>
      <c r="B50" s="97" t="s">
        <v>224</v>
      </c>
      <c r="C50" s="98">
        <v>172</v>
      </c>
      <c r="D50" s="98">
        <v>936</v>
      </c>
      <c r="E50" s="98">
        <v>0</v>
      </c>
      <c r="F50" s="98">
        <v>0</v>
      </c>
      <c r="G50" s="98">
        <v>0</v>
      </c>
      <c r="H50" s="98">
        <v>0</v>
      </c>
      <c r="I50" s="98">
        <v>0</v>
      </c>
      <c r="J50" s="98">
        <v>0</v>
      </c>
      <c r="K50" s="98">
        <v>0</v>
      </c>
      <c r="L50" s="98">
        <v>0</v>
      </c>
      <c r="M50" s="98">
        <v>0</v>
      </c>
      <c r="N50" s="98">
        <v>0</v>
      </c>
      <c r="O50" s="98">
        <f t="shared" si="11"/>
        <v>0</v>
      </c>
      <c r="P50" s="98">
        <f t="shared" si="12"/>
        <v>0</v>
      </c>
      <c r="Q50" s="99">
        <f t="shared" si="13"/>
        <v>0</v>
      </c>
    </row>
    <row r="51" spans="1:17" s="61" customFormat="1">
      <c r="A51" s="57">
        <v>45</v>
      </c>
      <c r="B51" s="97" t="s">
        <v>225</v>
      </c>
      <c r="C51" s="98">
        <v>88</v>
      </c>
      <c r="D51" s="98">
        <v>358</v>
      </c>
      <c r="E51" s="98">
        <v>10510</v>
      </c>
      <c r="F51" s="98">
        <v>12205</v>
      </c>
      <c r="G51" s="98">
        <v>136</v>
      </c>
      <c r="H51" s="98">
        <v>2716</v>
      </c>
      <c r="I51" s="98">
        <v>7</v>
      </c>
      <c r="J51" s="98">
        <v>274</v>
      </c>
      <c r="K51" s="98">
        <v>0</v>
      </c>
      <c r="L51" s="98">
        <v>0</v>
      </c>
      <c r="M51" s="98">
        <v>0</v>
      </c>
      <c r="N51" s="98">
        <v>0</v>
      </c>
      <c r="O51" s="98">
        <f t="shared" si="11"/>
        <v>10653</v>
      </c>
      <c r="P51" s="98">
        <f t="shared" si="12"/>
        <v>15195</v>
      </c>
      <c r="Q51" s="99">
        <f t="shared" si="13"/>
        <v>4244.4134078212292</v>
      </c>
    </row>
    <row r="52" spans="1:17" s="61" customFormat="1">
      <c r="A52" s="57">
        <v>46</v>
      </c>
      <c r="B52" s="97" t="s">
        <v>226</v>
      </c>
      <c r="C52" s="98">
        <v>290</v>
      </c>
      <c r="D52" s="98">
        <v>1377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8">
        <v>0</v>
      </c>
      <c r="K52" s="98">
        <v>0</v>
      </c>
      <c r="L52" s="98">
        <v>0</v>
      </c>
      <c r="M52" s="98">
        <v>0</v>
      </c>
      <c r="N52" s="98">
        <v>0</v>
      </c>
      <c r="O52" s="98">
        <f t="shared" si="11"/>
        <v>0</v>
      </c>
      <c r="P52" s="98">
        <f t="shared" si="12"/>
        <v>0</v>
      </c>
      <c r="Q52" s="99">
        <f t="shared" si="13"/>
        <v>0</v>
      </c>
    </row>
    <row r="53" spans="1:17" s="61" customFormat="1">
      <c r="A53" s="57">
        <v>47</v>
      </c>
      <c r="B53" s="97" t="s">
        <v>77</v>
      </c>
      <c r="C53" s="98">
        <v>0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98">
        <v>0</v>
      </c>
      <c r="J53" s="98">
        <v>0</v>
      </c>
      <c r="K53" s="98">
        <v>0</v>
      </c>
      <c r="L53" s="98">
        <v>0</v>
      </c>
      <c r="M53" s="98">
        <v>0</v>
      </c>
      <c r="N53" s="98">
        <v>0</v>
      </c>
      <c r="O53" s="98">
        <f t="shared" si="11"/>
        <v>0</v>
      </c>
      <c r="P53" s="98">
        <f t="shared" si="12"/>
        <v>0</v>
      </c>
      <c r="Q53" s="99">
        <v>0</v>
      </c>
    </row>
    <row r="54" spans="1:17" s="61" customFormat="1">
      <c r="A54" s="57">
        <v>48</v>
      </c>
      <c r="B54" s="97" t="s">
        <v>227</v>
      </c>
      <c r="C54" s="98">
        <v>0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0</v>
      </c>
      <c r="K54" s="98">
        <v>0</v>
      </c>
      <c r="L54" s="98">
        <v>0</v>
      </c>
      <c r="M54" s="98">
        <v>0</v>
      </c>
      <c r="N54" s="98">
        <v>0</v>
      </c>
      <c r="O54" s="98">
        <f t="shared" si="11"/>
        <v>0</v>
      </c>
      <c r="P54" s="98">
        <f t="shared" si="12"/>
        <v>0</v>
      </c>
      <c r="Q54" s="99">
        <v>0</v>
      </c>
    </row>
    <row r="55" spans="1:17" s="61" customFormat="1">
      <c r="A55" s="57">
        <v>49</v>
      </c>
      <c r="B55" s="97" t="s">
        <v>76</v>
      </c>
      <c r="C55" s="98">
        <v>928</v>
      </c>
      <c r="D55" s="98">
        <v>3588</v>
      </c>
      <c r="E55" s="98">
        <v>2201</v>
      </c>
      <c r="F55" s="98">
        <v>4667.42</v>
      </c>
      <c r="G55" s="98">
        <v>140</v>
      </c>
      <c r="H55" s="98">
        <v>2808.07</v>
      </c>
      <c r="I55" s="98">
        <v>2</v>
      </c>
      <c r="J55" s="98">
        <v>130.9</v>
      </c>
      <c r="K55" s="98">
        <v>0</v>
      </c>
      <c r="L55" s="98">
        <v>0</v>
      </c>
      <c r="M55" s="98">
        <v>0</v>
      </c>
      <c r="N55" s="98">
        <v>0</v>
      </c>
      <c r="O55" s="98">
        <f t="shared" si="11"/>
        <v>2343</v>
      </c>
      <c r="P55" s="98">
        <f t="shared" si="12"/>
        <v>7606.3899999999994</v>
      </c>
      <c r="Q55" s="99">
        <f t="shared" ref="Q55:Q63" si="14">P55*100/D55</f>
        <v>211.99526198439241</v>
      </c>
    </row>
    <row r="56" spans="1:17" s="61" customFormat="1">
      <c r="A56" s="59"/>
      <c r="B56" s="104" t="s">
        <v>287</v>
      </c>
      <c r="C56" s="105">
        <f>SUM(C34:C55)</f>
        <v>48070</v>
      </c>
      <c r="D56" s="105">
        <f>SUM(D34:D55)</f>
        <v>228135</v>
      </c>
      <c r="E56" s="105">
        <f t="shared" ref="E56:N56" si="15">SUM(E34:E55)</f>
        <v>179599</v>
      </c>
      <c r="F56" s="105">
        <f t="shared" si="15"/>
        <v>269132.25</v>
      </c>
      <c r="G56" s="105">
        <f t="shared" si="15"/>
        <v>14950</v>
      </c>
      <c r="H56" s="105">
        <f t="shared" si="15"/>
        <v>215396.25000000003</v>
      </c>
      <c r="I56" s="105">
        <f t="shared" si="15"/>
        <v>542</v>
      </c>
      <c r="J56" s="105">
        <f t="shared" si="15"/>
        <v>29100.670000000002</v>
      </c>
      <c r="K56" s="105">
        <f t="shared" si="15"/>
        <v>179</v>
      </c>
      <c r="L56" s="105">
        <f t="shared" si="15"/>
        <v>119.94</v>
      </c>
      <c r="M56" s="105">
        <f t="shared" si="15"/>
        <v>135139</v>
      </c>
      <c r="N56" s="105">
        <f t="shared" si="15"/>
        <v>45460.13</v>
      </c>
      <c r="O56" s="105">
        <f t="shared" ref="O56" si="16">SUM(O34:O55)</f>
        <v>330409</v>
      </c>
      <c r="P56" s="105">
        <f t="shared" ref="P56" si="17">SUM(P34:P55)</f>
        <v>559209.24</v>
      </c>
      <c r="Q56" s="96">
        <f t="shared" si="14"/>
        <v>245.12207245709777</v>
      </c>
    </row>
    <row r="57" spans="1:17" s="61" customFormat="1">
      <c r="A57" s="57">
        <v>50</v>
      </c>
      <c r="B57" s="97" t="s">
        <v>46</v>
      </c>
      <c r="C57" s="98">
        <v>12689</v>
      </c>
      <c r="D57" s="98">
        <v>36924</v>
      </c>
      <c r="E57" s="98">
        <v>3595</v>
      </c>
      <c r="F57" s="98">
        <v>4143.55</v>
      </c>
      <c r="G57" s="98">
        <v>898</v>
      </c>
      <c r="H57" s="98">
        <v>849.19</v>
      </c>
      <c r="I57" s="98">
        <v>0</v>
      </c>
      <c r="J57" s="98">
        <v>0</v>
      </c>
      <c r="K57" s="98">
        <v>86</v>
      </c>
      <c r="L57" s="98">
        <v>285</v>
      </c>
      <c r="M57" s="98">
        <v>0</v>
      </c>
      <c r="N57" s="98">
        <v>0</v>
      </c>
      <c r="O57" s="98">
        <f t="shared" ref="O57:P59" si="18">E57+G57+I57+K57+M57</f>
        <v>4579</v>
      </c>
      <c r="P57" s="98">
        <f t="shared" si="18"/>
        <v>5277.74</v>
      </c>
      <c r="Q57" s="99">
        <f t="shared" si="14"/>
        <v>14.293521828620952</v>
      </c>
    </row>
    <row r="58" spans="1:17" s="61" customFormat="1">
      <c r="A58" s="57">
        <v>51</v>
      </c>
      <c r="B58" s="97" t="s">
        <v>228</v>
      </c>
      <c r="C58" s="98">
        <v>11420</v>
      </c>
      <c r="D58" s="98">
        <v>24495</v>
      </c>
      <c r="E58" s="98">
        <v>63470</v>
      </c>
      <c r="F58" s="98">
        <v>46225</v>
      </c>
      <c r="G58" s="98">
        <v>0</v>
      </c>
      <c r="H58" s="98">
        <v>0</v>
      </c>
      <c r="I58" s="98">
        <v>0</v>
      </c>
      <c r="J58" s="98">
        <v>0</v>
      </c>
      <c r="K58" s="98">
        <v>79</v>
      </c>
      <c r="L58" s="98">
        <v>86</v>
      </c>
      <c r="M58" s="98">
        <v>0</v>
      </c>
      <c r="N58" s="98">
        <v>0</v>
      </c>
      <c r="O58" s="98">
        <f t="shared" si="18"/>
        <v>63549</v>
      </c>
      <c r="P58" s="98">
        <f t="shared" si="18"/>
        <v>46311</v>
      </c>
      <c r="Q58" s="99">
        <f t="shared" si="14"/>
        <v>189.06307409675443</v>
      </c>
    </row>
    <row r="59" spans="1:17" s="61" customFormat="1">
      <c r="A59" s="57">
        <v>52</v>
      </c>
      <c r="B59" s="97" t="s">
        <v>52</v>
      </c>
      <c r="C59" s="98">
        <v>9667</v>
      </c>
      <c r="D59" s="98">
        <v>20727</v>
      </c>
      <c r="E59" s="98">
        <v>12365</v>
      </c>
      <c r="F59" s="98">
        <v>15081.53</v>
      </c>
      <c r="G59" s="98">
        <v>115</v>
      </c>
      <c r="H59" s="98">
        <v>1540.21</v>
      </c>
      <c r="I59" s="98">
        <v>0</v>
      </c>
      <c r="J59" s="98">
        <v>0</v>
      </c>
      <c r="K59" s="98">
        <v>14</v>
      </c>
      <c r="L59" s="98">
        <v>31.12</v>
      </c>
      <c r="M59" s="98">
        <v>854</v>
      </c>
      <c r="N59" s="98">
        <v>909.61</v>
      </c>
      <c r="O59" s="98">
        <f t="shared" si="18"/>
        <v>13348</v>
      </c>
      <c r="P59" s="98">
        <f t="shared" si="18"/>
        <v>17562.47</v>
      </c>
      <c r="Q59" s="99">
        <f t="shared" si="14"/>
        <v>84.732329811357161</v>
      </c>
    </row>
    <row r="60" spans="1:17" s="107" customFormat="1">
      <c r="A60" s="294"/>
      <c r="B60" s="59" t="s">
        <v>293</v>
      </c>
      <c r="C60" s="105">
        <f>SUM(C57:C59)</f>
        <v>33776</v>
      </c>
      <c r="D60" s="105">
        <f>SUM(D57:D59)</f>
        <v>82146</v>
      </c>
      <c r="E60" s="105">
        <f t="shared" ref="E60:N60" si="19">SUM(E57:E59)</f>
        <v>79430</v>
      </c>
      <c r="F60" s="105">
        <f t="shared" si="19"/>
        <v>65450.080000000002</v>
      </c>
      <c r="G60" s="105">
        <f t="shared" si="19"/>
        <v>1013</v>
      </c>
      <c r="H60" s="105">
        <f t="shared" si="19"/>
        <v>2389.4</v>
      </c>
      <c r="I60" s="105">
        <f t="shared" si="19"/>
        <v>0</v>
      </c>
      <c r="J60" s="105">
        <f t="shared" si="19"/>
        <v>0</v>
      </c>
      <c r="K60" s="105">
        <f t="shared" si="19"/>
        <v>179</v>
      </c>
      <c r="L60" s="105">
        <f t="shared" si="19"/>
        <v>402.12</v>
      </c>
      <c r="M60" s="105">
        <f t="shared" si="19"/>
        <v>854</v>
      </c>
      <c r="N60" s="105">
        <f t="shared" si="19"/>
        <v>909.61</v>
      </c>
      <c r="O60" s="105">
        <f t="shared" ref="O60" si="20">SUM(O57:O59)</f>
        <v>81476</v>
      </c>
      <c r="P60" s="105">
        <f t="shared" ref="P60" si="21">SUM(P57:P59)</f>
        <v>69151.209999999992</v>
      </c>
      <c r="Q60" s="96">
        <f t="shared" si="14"/>
        <v>84.180860906191398</v>
      </c>
    </row>
    <row r="61" spans="1:17" s="61" customFormat="1">
      <c r="A61" s="57">
        <v>53</v>
      </c>
      <c r="B61" s="58" t="s">
        <v>288</v>
      </c>
      <c r="C61" s="98">
        <v>19657</v>
      </c>
      <c r="D61" s="98">
        <v>107223</v>
      </c>
      <c r="E61" s="98">
        <v>0</v>
      </c>
      <c r="F61" s="98">
        <v>314</v>
      </c>
      <c r="G61" s="98">
        <v>0</v>
      </c>
      <c r="H61" s="98">
        <v>2272</v>
      </c>
      <c r="I61" s="98">
        <v>0</v>
      </c>
      <c r="J61" s="98">
        <v>0</v>
      </c>
      <c r="K61" s="98">
        <v>0</v>
      </c>
      <c r="L61" s="98">
        <v>0</v>
      </c>
      <c r="M61" s="98">
        <v>0</v>
      </c>
      <c r="N61" s="98">
        <v>0</v>
      </c>
      <c r="O61" s="98">
        <f>E61+G61+I61+K61+M61</f>
        <v>0</v>
      </c>
      <c r="P61" s="98">
        <f>F61+H61+J61+L61+N61</f>
        <v>2586</v>
      </c>
      <c r="Q61" s="99">
        <f t="shared" si="14"/>
        <v>2.4117959766094961</v>
      </c>
    </row>
    <row r="62" spans="1:17" s="107" customFormat="1">
      <c r="A62" s="294"/>
      <c r="B62" s="59" t="s">
        <v>289</v>
      </c>
      <c r="C62" s="105">
        <f>C61</f>
        <v>19657</v>
      </c>
      <c r="D62" s="105">
        <f>D61</f>
        <v>107223</v>
      </c>
      <c r="E62" s="105">
        <f t="shared" ref="E62:N62" si="22">E61</f>
        <v>0</v>
      </c>
      <c r="F62" s="105">
        <f t="shared" si="22"/>
        <v>314</v>
      </c>
      <c r="G62" s="105">
        <f t="shared" si="22"/>
        <v>0</v>
      </c>
      <c r="H62" s="105">
        <f t="shared" si="22"/>
        <v>2272</v>
      </c>
      <c r="I62" s="105">
        <f t="shared" si="22"/>
        <v>0</v>
      </c>
      <c r="J62" s="105">
        <f t="shared" si="22"/>
        <v>0</v>
      </c>
      <c r="K62" s="105">
        <f t="shared" si="22"/>
        <v>0</v>
      </c>
      <c r="L62" s="105">
        <f t="shared" si="22"/>
        <v>0</v>
      </c>
      <c r="M62" s="105">
        <f t="shared" si="22"/>
        <v>0</v>
      </c>
      <c r="N62" s="105">
        <f t="shared" si="22"/>
        <v>0</v>
      </c>
      <c r="O62" s="105">
        <f t="shared" ref="O62" si="23">O61</f>
        <v>0</v>
      </c>
      <c r="P62" s="105">
        <f t="shared" ref="P62" si="24">P61</f>
        <v>2586</v>
      </c>
      <c r="Q62" s="96">
        <f t="shared" si="14"/>
        <v>2.4117959766094961</v>
      </c>
    </row>
    <row r="63" spans="1:17" s="107" customFormat="1">
      <c r="A63" s="294"/>
      <c r="B63" s="59" t="s">
        <v>290</v>
      </c>
      <c r="C63" s="105">
        <f>C62+C60+C56+C33</f>
        <v>382924</v>
      </c>
      <c r="D63" s="105">
        <f>D62+D60+D56+D33</f>
        <v>1612329</v>
      </c>
      <c r="E63" s="105">
        <f t="shared" ref="E63:N63" si="25">E62+E60+E56+E33</f>
        <v>406216</v>
      </c>
      <c r="F63" s="105">
        <f t="shared" si="25"/>
        <v>792782.81</v>
      </c>
      <c r="G63" s="105">
        <f t="shared" si="25"/>
        <v>29732</v>
      </c>
      <c r="H63" s="105">
        <f t="shared" si="25"/>
        <v>615752.49</v>
      </c>
      <c r="I63" s="105">
        <f t="shared" si="25"/>
        <v>2367</v>
      </c>
      <c r="J63" s="105">
        <f t="shared" si="25"/>
        <v>160961.97000000003</v>
      </c>
      <c r="K63" s="105">
        <f t="shared" si="25"/>
        <v>1076</v>
      </c>
      <c r="L63" s="105">
        <f t="shared" si="25"/>
        <v>4414.97</v>
      </c>
      <c r="M63" s="105">
        <f t="shared" si="25"/>
        <v>148866</v>
      </c>
      <c r="N63" s="105">
        <f t="shared" si="25"/>
        <v>77662</v>
      </c>
      <c r="O63" s="105">
        <f t="shared" ref="O63" si="26">O62+O60+O56+O33</f>
        <v>588257</v>
      </c>
      <c r="P63" s="105">
        <f t="shared" ref="P63" si="27">P62+P60+P56+P33</f>
        <v>1651574.24</v>
      </c>
      <c r="Q63" s="96">
        <f t="shared" si="14"/>
        <v>102.43407145812051</v>
      </c>
    </row>
    <row r="64" spans="1:17" s="61" customFormat="1">
      <c r="A64" s="60"/>
      <c r="C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08"/>
    </row>
    <row r="65" spans="3:17" s="61" customFormat="1"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08"/>
    </row>
    <row r="66" spans="3:17" s="61" customFormat="1">
      <c r="C66" s="110"/>
      <c r="D66" s="110" t="s">
        <v>776</v>
      </c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08"/>
    </row>
    <row r="67" spans="3:17" s="61" customFormat="1"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08"/>
    </row>
    <row r="68" spans="3:17" s="61" customFormat="1"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08"/>
    </row>
    <row r="69" spans="3:17" s="61" customFormat="1"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08"/>
    </row>
    <row r="70" spans="3:17" s="61" customFormat="1"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08"/>
    </row>
    <row r="71" spans="3:17" s="61" customFormat="1"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08"/>
    </row>
    <row r="72" spans="3:17" s="61" customFormat="1"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08"/>
    </row>
    <row r="73" spans="3:17" s="61" customFormat="1"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08"/>
    </row>
    <row r="74" spans="3:17" s="61" customFormat="1"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08"/>
    </row>
  </sheetData>
  <mergeCells count="12">
    <mergeCell ref="Q3:Q5"/>
    <mergeCell ref="A1:P1"/>
    <mergeCell ref="A3:A5"/>
    <mergeCell ref="B3:B5"/>
    <mergeCell ref="E3:P3"/>
    <mergeCell ref="E4:F4"/>
    <mergeCell ref="G4:H4"/>
    <mergeCell ref="I4:J4"/>
    <mergeCell ref="K4:L4"/>
    <mergeCell ref="M4:N4"/>
    <mergeCell ref="O4:P4"/>
    <mergeCell ref="C3:D4"/>
  </mergeCells>
  <conditionalFormatting sqref="B6">
    <cfRule type="duplicateValues" dxfId="132" priority="6"/>
  </conditionalFormatting>
  <conditionalFormatting sqref="B22">
    <cfRule type="duplicateValues" dxfId="131" priority="7"/>
  </conditionalFormatting>
  <conditionalFormatting sqref="B33:B34 B26:B30">
    <cfRule type="duplicateValues" dxfId="130" priority="8"/>
  </conditionalFormatting>
  <conditionalFormatting sqref="B52">
    <cfRule type="duplicateValues" dxfId="129" priority="9"/>
  </conditionalFormatting>
  <conditionalFormatting sqref="B56">
    <cfRule type="duplicateValues" dxfId="128" priority="10"/>
  </conditionalFormatting>
  <conditionalFormatting sqref="B58">
    <cfRule type="duplicateValues" dxfId="127" priority="11"/>
  </conditionalFormatting>
  <conditionalFormatting sqref="Q1:Q1048576">
    <cfRule type="cellIs" dxfId="126" priority="5" stopIfTrue="1" operator="greaterThan">
      <formula>100</formula>
    </cfRule>
  </conditionalFormatting>
  <pageMargins left="0.5" right="0.2" top="0.25" bottom="0.25" header="0.05" footer="0.05"/>
  <pageSetup scale="6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69"/>
  <sheetViews>
    <sheetView zoomScaleNormal="100" workbookViewId="0">
      <pane xSplit="2" ySplit="5" topLeftCell="C51" activePane="bottomRight" state="frozen"/>
      <selection pane="topRight" activeCell="C1" sqref="C1"/>
      <selection pane="bottomLeft" activeCell="A7" sqref="A7"/>
      <selection pane="bottomRight" activeCell="K66" sqref="K66"/>
    </sheetView>
  </sheetViews>
  <sheetFormatPr defaultColWidth="4.42578125" defaultRowHeight="13.5"/>
  <cols>
    <col min="1" max="1" width="4.42578125" style="61"/>
    <col min="2" max="2" width="21.85546875" style="61" bestFit="1" customWidth="1"/>
    <col min="3" max="3" width="8" style="110" bestFit="1" customWidth="1"/>
    <col min="4" max="4" width="10.140625" style="110" bestFit="1" customWidth="1"/>
    <col min="5" max="5" width="8" style="110" bestFit="1" customWidth="1"/>
    <col min="6" max="6" width="8.140625" style="110" bestFit="1" customWidth="1"/>
    <col min="7" max="7" width="8.140625" style="108" customWidth="1"/>
    <col min="8" max="9" width="10.140625" style="110" bestFit="1" customWidth="1"/>
    <col min="10" max="10" width="8" style="110" bestFit="1" customWidth="1"/>
    <col min="11" max="11" width="10.140625" style="110" bestFit="1" customWidth="1"/>
    <col min="12" max="12" width="8.140625" style="108" customWidth="1"/>
    <col min="13" max="13" width="10.140625" style="110" bestFit="1" customWidth="1"/>
    <col min="14" max="14" width="10.42578125" style="110" bestFit="1" customWidth="1"/>
    <col min="15" max="16" width="10.140625" style="110" bestFit="1" customWidth="1"/>
    <col min="17" max="17" width="8.42578125" style="108" customWidth="1"/>
    <col min="18" max="18" width="6" style="61" bestFit="1" customWidth="1"/>
    <col min="19" max="19" width="4.42578125" style="61"/>
    <col min="20" max="20" width="8.5703125" style="61" customWidth="1"/>
    <col min="21" max="16384" width="4.42578125" style="61"/>
  </cols>
  <sheetData>
    <row r="1" spans="1:20" ht="18.75">
      <c r="A1" s="593" t="s">
        <v>746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  <c r="Q1" s="593"/>
    </row>
    <row r="2" spans="1:20">
      <c r="B2" s="107" t="s">
        <v>134</v>
      </c>
      <c r="C2" s="111"/>
      <c r="D2" s="111"/>
      <c r="N2" s="622" t="s">
        <v>269</v>
      </c>
      <c r="O2" s="622"/>
      <c r="P2" s="622"/>
    </row>
    <row r="3" spans="1:20" ht="35.1" customHeight="1">
      <c r="A3" s="594" t="s">
        <v>120</v>
      </c>
      <c r="B3" s="594" t="s">
        <v>100</v>
      </c>
      <c r="C3" s="595" t="s">
        <v>34</v>
      </c>
      <c r="D3" s="595"/>
      <c r="E3" s="595"/>
      <c r="F3" s="595"/>
      <c r="G3" s="592" t="s">
        <v>158</v>
      </c>
      <c r="H3" s="595" t="s">
        <v>20</v>
      </c>
      <c r="I3" s="595"/>
      <c r="J3" s="595"/>
      <c r="K3" s="595"/>
      <c r="L3" s="592" t="s">
        <v>158</v>
      </c>
      <c r="M3" s="595" t="s">
        <v>19</v>
      </c>
      <c r="N3" s="595"/>
      <c r="O3" s="595"/>
      <c r="P3" s="595"/>
      <c r="Q3" s="592" t="s">
        <v>158</v>
      </c>
    </row>
    <row r="4" spans="1:20" ht="35.1" customHeight="1">
      <c r="A4" s="594"/>
      <c r="B4" s="594"/>
      <c r="C4" s="595" t="s">
        <v>21</v>
      </c>
      <c r="D4" s="595"/>
      <c r="E4" s="595" t="s">
        <v>160</v>
      </c>
      <c r="F4" s="595"/>
      <c r="G4" s="592"/>
      <c r="H4" s="595" t="s">
        <v>21</v>
      </c>
      <c r="I4" s="595"/>
      <c r="J4" s="595" t="s">
        <v>160</v>
      </c>
      <c r="K4" s="595"/>
      <c r="L4" s="592"/>
      <c r="M4" s="595" t="s">
        <v>21</v>
      </c>
      <c r="N4" s="595"/>
      <c r="O4" s="595" t="s">
        <v>160</v>
      </c>
      <c r="P4" s="595"/>
      <c r="Q4" s="592"/>
    </row>
    <row r="5" spans="1:20" ht="35.1" customHeight="1">
      <c r="A5" s="594"/>
      <c r="B5" s="594"/>
      <c r="C5" s="384" t="s">
        <v>124</v>
      </c>
      <c r="D5" s="384" t="s">
        <v>99</v>
      </c>
      <c r="E5" s="384" t="s">
        <v>124</v>
      </c>
      <c r="F5" s="384" t="s">
        <v>99</v>
      </c>
      <c r="G5" s="592"/>
      <c r="H5" s="384" t="s">
        <v>124</v>
      </c>
      <c r="I5" s="384" t="s">
        <v>99</v>
      </c>
      <c r="J5" s="384" t="s">
        <v>124</v>
      </c>
      <c r="K5" s="384" t="s">
        <v>99</v>
      </c>
      <c r="L5" s="592"/>
      <c r="M5" s="384" t="s">
        <v>124</v>
      </c>
      <c r="N5" s="384" t="s">
        <v>99</v>
      </c>
      <c r="O5" s="384" t="s">
        <v>124</v>
      </c>
      <c r="P5" s="384" t="s">
        <v>99</v>
      </c>
      <c r="Q5" s="592"/>
    </row>
    <row r="6" spans="1:20">
      <c r="A6" s="57">
        <v>1</v>
      </c>
      <c r="B6" s="97" t="s">
        <v>55</v>
      </c>
      <c r="C6" s="98">
        <v>48</v>
      </c>
      <c r="D6" s="98">
        <v>1025</v>
      </c>
      <c r="E6" s="98">
        <v>0</v>
      </c>
      <c r="F6" s="98">
        <v>0</v>
      </c>
      <c r="G6" s="99">
        <f>F6*100/D6</f>
        <v>0</v>
      </c>
      <c r="H6" s="98">
        <v>1532</v>
      </c>
      <c r="I6" s="98">
        <v>6037</v>
      </c>
      <c r="J6" s="98">
        <v>1599</v>
      </c>
      <c r="K6" s="98">
        <v>2949</v>
      </c>
      <c r="L6" s="99">
        <f>K6*100/I6</f>
        <v>48.848765943349349</v>
      </c>
      <c r="M6" s="98">
        <v>6615</v>
      </c>
      <c r="N6" s="98">
        <v>22613</v>
      </c>
      <c r="O6" s="98">
        <v>7154</v>
      </c>
      <c r="P6" s="98">
        <v>22200</v>
      </c>
      <c r="Q6" s="99">
        <f>P6*100/N6</f>
        <v>98.173616946004515</v>
      </c>
      <c r="R6" s="110"/>
      <c r="T6" s="110"/>
    </row>
    <row r="7" spans="1:20">
      <c r="A7" s="57">
        <v>2</v>
      </c>
      <c r="B7" s="97" t="s">
        <v>56</v>
      </c>
      <c r="C7" s="98">
        <v>0</v>
      </c>
      <c r="D7" s="98">
        <v>0</v>
      </c>
      <c r="E7" s="98">
        <v>2</v>
      </c>
      <c r="F7" s="98">
        <v>1940</v>
      </c>
      <c r="G7" s="99">
        <v>0</v>
      </c>
      <c r="H7" s="98">
        <v>208</v>
      </c>
      <c r="I7" s="98">
        <v>713</v>
      </c>
      <c r="J7" s="98">
        <v>153</v>
      </c>
      <c r="K7" s="98">
        <v>556.84</v>
      </c>
      <c r="L7" s="99">
        <f t="shared" ref="L7:L63" si="0">K7*100/I7</f>
        <v>78.09817671809256</v>
      </c>
      <c r="M7" s="98">
        <v>656</v>
      </c>
      <c r="N7" s="98">
        <v>2869</v>
      </c>
      <c r="O7" s="98">
        <v>1225</v>
      </c>
      <c r="P7" s="98">
        <v>10410.950000000001</v>
      </c>
      <c r="Q7" s="99">
        <f t="shared" ref="Q7:Q63" si="1">P7*100/N7</f>
        <v>362.87730916695716</v>
      </c>
      <c r="R7" s="110"/>
      <c r="T7" s="110"/>
    </row>
    <row r="8" spans="1:20">
      <c r="A8" s="57">
        <v>3</v>
      </c>
      <c r="B8" s="97" t="s">
        <v>57</v>
      </c>
      <c r="C8" s="98">
        <v>96</v>
      </c>
      <c r="D8" s="98">
        <v>5069</v>
      </c>
      <c r="E8" s="98">
        <v>11</v>
      </c>
      <c r="F8" s="98">
        <v>1163</v>
      </c>
      <c r="G8" s="99">
        <f>F8*100/D8</f>
        <v>22.943381337541922</v>
      </c>
      <c r="H8" s="98">
        <v>1222</v>
      </c>
      <c r="I8" s="98">
        <v>4360</v>
      </c>
      <c r="J8" s="98">
        <v>853</v>
      </c>
      <c r="K8" s="98">
        <v>2609</v>
      </c>
      <c r="L8" s="99">
        <f t="shared" si="0"/>
        <v>59.839449541284402</v>
      </c>
      <c r="M8" s="98">
        <v>5556</v>
      </c>
      <c r="N8" s="98">
        <v>19368</v>
      </c>
      <c r="O8" s="98">
        <v>3245</v>
      </c>
      <c r="P8" s="98">
        <v>16356</v>
      </c>
      <c r="Q8" s="99">
        <f t="shared" si="1"/>
        <v>84.448574969021067</v>
      </c>
      <c r="R8" s="110"/>
      <c r="T8" s="110"/>
    </row>
    <row r="9" spans="1:20">
      <c r="A9" s="57">
        <v>4</v>
      </c>
      <c r="B9" s="97" t="s">
        <v>58</v>
      </c>
      <c r="C9" s="98">
        <v>174</v>
      </c>
      <c r="D9" s="98">
        <v>6133</v>
      </c>
      <c r="E9" s="98">
        <v>0</v>
      </c>
      <c r="F9" s="98">
        <v>0</v>
      </c>
      <c r="G9" s="99">
        <f>F9*100/D9</f>
        <v>0</v>
      </c>
      <c r="H9" s="98">
        <v>1940</v>
      </c>
      <c r="I9" s="98">
        <v>7375</v>
      </c>
      <c r="J9" s="98">
        <v>2962</v>
      </c>
      <c r="K9" s="98">
        <v>3215</v>
      </c>
      <c r="L9" s="99">
        <f t="shared" si="0"/>
        <v>43.593220338983052</v>
      </c>
      <c r="M9" s="98">
        <v>8333</v>
      </c>
      <c r="N9" s="98">
        <v>29816</v>
      </c>
      <c r="O9" s="98">
        <v>13274</v>
      </c>
      <c r="P9" s="98">
        <v>6142</v>
      </c>
      <c r="Q9" s="99">
        <f t="shared" si="1"/>
        <v>20.599678025221358</v>
      </c>
      <c r="R9" s="110"/>
      <c r="T9" s="110"/>
    </row>
    <row r="10" spans="1:20">
      <c r="A10" s="57">
        <v>5</v>
      </c>
      <c r="B10" s="97" t="s">
        <v>59</v>
      </c>
      <c r="C10" s="98">
        <v>0</v>
      </c>
      <c r="D10" s="98">
        <v>0</v>
      </c>
      <c r="E10" s="98">
        <v>0</v>
      </c>
      <c r="F10" s="98">
        <v>0</v>
      </c>
      <c r="G10" s="99">
        <v>0</v>
      </c>
      <c r="H10" s="98">
        <v>782</v>
      </c>
      <c r="I10" s="98">
        <v>2655</v>
      </c>
      <c r="J10" s="98">
        <v>106</v>
      </c>
      <c r="K10" s="98">
        <v>61.9</v>
      </c>
      <c r="L10" s="99">
        <f t="shared" si="0"/>
        <v>2.3314500941619585</v>
      </c>
      <c r="M10" s="98">
        <v>4004</v>
      </c>
      <c r="N10" s="98">
        <v>10421</v>
      </c>
      <c r="O10" s="98">
        <v>1420</v>
      </c>
      <c r="P10" s="98">
        <v>1445.75</v>
      </c>
      <c r="Q10" s="99">
        <f t="shared" si="1"/>
        <v>13.873428653680069</v>
      </c>
      <c r="R10" s="110"/>
      <c r="T10" s="110"/>
    </row>
    <row r="11" spans="1:20">
      <c r="A11" s="57">
        <v>6</v>
      </c>
      <c r="B11" s="100" t="s">
        <v>241</v>
      </c>
      <c r="C11" s="98">
        <v>0</v>
      </c>
      <c r="D11" s="98">
        <v>0</v>
      </c>
      <c r="E11" s="98">
        <v>0</v>
      </c>
      <c r="F11" s="98">
        <v>0</v>
      </c>
      <c r="G11" s="99">
        <v>0</v>
      </c>
      <c r="H11" s="98">
        <v>14</v>
      </c>
      <c r="I11" s="98">
        <v>26</v>
      </c>
      <c r="J11" s="98">
        <v>0</v>
      </c>
      <c r="K11" s="98">
        <v>0</v>
      </c>
      <c r="L11" s="99">
        <f t="shared" si="0"/>
        <v>0</v>
      </c>
      <c r="M11" s="98">
        <v>145</v>
      </c>
      <c r="N11" s="98">
        <v>262</v>
      </c>
      <c r="O11" s="98">
        <v>0</v>
      </c>
      <c r="P11" s="98">
        <v>0</v>
      </c>
      <c r="Q11" s="99">
        <f t="shared" si="1"/>
        <v>0</v>
      </c>
      <c r="R11" s="110"/>
      <c r="T11" s="110"/>
    </row>
    <row r="12" spans="1:20">
      <c r="A12" s="57">
        <v>7</v>
      </c>
      <c r="B12" s="97" t="s">
        <v>60</v>
      </c>
      <c r="C12" s="98">
        <v>24</v>
      </c>
      <c r="D12" s="98">
        <v>1654</v>
      </c>
      <c r="E12" s="98">
        <v>0</v>
      </c>
      <c r="F12" s="98">
        <v>0</v>
      </c>
      <c r="G12" s="99">
        <f>F12*100/D12</f>
        <v>0</v>
      </c>
      <c r="H12" s="98">
        <v>674</v>
      </c>
      <c r="I12" s="98">
        <v>2614</v>
      </c>
      <c r="J12" s="98">
        <v>344</v>
      </c>
      <c r="K12" s="98">
        <v>1382.79</v>
      </c>
      <c r="L12" s="99">
        <f t="shared" si="0"/>
        <v>52.899387911247132</v>
      </c>
      <c r="M12" s="98">
        <v>2730</v>
      </c>
      <c r="N12" s="98">
        <v>11616</v>
      </c>
      <c r="O12" s="98">
        <v>1026</v>
      </c>
      <c r="P12" s="98">
        <v>10359.709999999999</v>
      </c>
      <c r="Q12" s="99">
        <f t="shared" si="1"/>
        <v>89.184831267217618</v>
      </c>
      <c r="R12" s="110"/>
      <c r="T12" s="110"/>
    </row>
    <row r="13" spans="1:20">
      <c r="A13" s="57">
        <v>8</v>
      </c>
      <c r="B13" s="97" t="s">
        <v>61</v>
      </c>
      <c r="C13" s="98">
        <v>145</v>
      </c>
      <c r="D13" s="98">
        <v>3256</v>
      </c>
      <c r="E13" s="98">
        <v>0</v>
      </c>
      <c r="F13" s="98">
        <v>0</v>
      </c>
      <c r="G13" s="99">
        <f>F13*100/D13</f>
        <v>0</v>
      </c>
      <c r="H13" s="98">
        <v>2716</v>
      </c>
      <c r="I13" s="98">
        <v>9983</v>
      </c>
      <c r="J13" s="98">
        <v>1167</v>
      </c>
      <c r="K13" s="98">
        <v>5819</v>
      </c>
      <c r="L13" s="99">
        <f t="shared" si="0"/>
        <v>58.289091455474306</v>
      </c>
      <c r="M13" s="98">
        <v>10374</v>
      </c>
      <c r="N13" s="98">
        <v>35193</v>
      </c>
      <c r="O13" s="98">
        <v>9295</v>
      </c>
      <c r="P13" s="98">
        <v>26374</v>
      </c>
      <c r="Q13" s="99">
        <f t="shared" si="1"/>
        <v>74.94103941124655</v>
      </c>
      <c r="R13" s="110"/>
      <c r="T13" s="110"/>
    </row>
    <row r="14" spans="1:20">
      <c r="A14" s="57">
        <v>9</v>
      </c>
      <c r="B14" s="97" t="s">
        <v>48</v>
      </c>
      <c r="C14" s="98">
        <v>18</v>
      </c>
      <c r="D14" s="98">
        <v>537</v>
      </c>
      <c r="E14" s="98">
        <v>5</v>
      </c>
      <c r="F14" s="98">
        <v>125</v>
      </c>
      <c r="G14" s="99">
        <f>F14*100/D14</f>
        <v>23.277467411545622</v>
      </c>
      <c r="H14" s="98">
        <v>370</v>
      </c>
      <c r="I14" s="98">
        <v>1220</v>
      </c>
      <c r="J14" s="98">
        <v>47</v>
      </c>
      <c r="K14" s="98">
        <v>131.59</v>
      </c>
      <c r="L14" s="99">
        <f t="shared" si="0"/>
        <v>10.786065573770491</v>
      </c>
      <c r="M14" s="98">
        <v>1288</v>
      </c>
      <c r="N14" s="98">
        <v>4842</v>
      </c>
      <c r="O14" s="98">
        <v>245</v>
      </c>
      <c r="P14" s="98">
        <v>248.85</v>
      </c>
      <c r="Q14" s="99">
        <f t="shared" si="1"/>
        <v>5.1394052044609664</v>
      </c>
      <c r="R14" s="110"/>
      <c r="T14" s="110"/>
    </row>
    <row r="15" spans="1:20">
      <c r="A15" s="57">
        <v>10</v>
      </c>
      <c r="B15" s="97" t="s">
        <v>49</v>
      </c>
      <c r="C15" s="98">
        <v>0</v>
      </c>
      <c r="D15" s="98">
        <v>0</v>
      </c>
      <c r="E15" s="98">
        <v>7</v>
      </c>
      <c r="F15" s="98">
        <v>622</v>
      </c>
      <c r="G15" s="99">
        <v>0</v>
      </c>
      <c r="H15" s="98">
        <v>408</v>
      </c>
      <c r="I15" s="98">
        <v>1471</v>
      </c>
      <c r="J15" s="98">
        <v>82</v>
      </c>
      <c r="K15" s="98">
        <v>378</v>
      </c>
      <c r="L15" s="99">
        <f t="shared" si="0"/>
        <v>25.696804894629505</v>
      </c>
      <c r="M15" s="98">
        <v>1464</v>
      </c>
      <c r="N15" s="98">
        <v>5668</v>
      </c>
      <c r="O15" s="98">
        <v>306</v>
      </c>
      <c r="P15" s="98">
        <v>2268</v>
      </c>
      <c r="Q15" s="99">
        <f t="shared" si="1"/>
        <v>40.014114326040932</v>
      </c>
      <c r="R15" s="110"/>
      <c r="T15" s="110"/>
    </row>
    <row r="16" spans="1:20">
      <c r="A16" s="57">
        <v>11</v>
      </c>
      <c r="B16" s="97" t="s">
        <v>81</v>
      </c>
      <c r="C16" s="98">
        <v>0</v>
      </c>
      <c r="D16" s="98">
        <v>0</v>
      </c>
      <c r="E16" s="98">
        <v>0</v>
      </c>
      <c r="F16" s="98">
        <v>0</v>
      </c>
      <c r="G16" s="99">
        <v>0</v>
      </c>
      <c r="H16" s="98">
        <v>280</v>
      </c>
      <c r="I16" s="98">
        <v>911</v>
      </c>
      <c r="J16" s="98">
        <v>467</v>
      </c>
      <c r="K16" s="98">
        <v>657</v>
      </c>
      <c r="L16" s="99">
        <f t="shared" si="0"/>
        <v>72.118551042810097</v>
      </c>
      <c r="M16" s="98">
        <v>924</v>
      </c>
      <c r="N16" s="98">
        <v>3652</v>
      </c>
      <c r="O16" s="98">
        <v>1169</v>
      </c>
      <c r="P16" s="98">
        <v>5974</v>
      </c>
      <c r="Q16" s="99">
        <f t="shared" si="1"/>
        <v>163.5815991237678</v>
      </c>
      <c r="R16" s="110"/>
      <c r="T16" s="110"/>
    </row>
    <row r="17" spans="1:20">
      <c r="A17" s="57">
        <v>12</v>
      </c>
      <c r="B17" s="97" t="s">
        <v>62</v>
      </c>
      <c r="C17" s="98">
        <v>0</v>
      </c>
      <c r="D17" s="98">
        <v>0</v>
      </c>
      <c r="E17" s="98">
        <v>0</v>
      </c>
      <c r="F17" s="98">
        <v>0</v>
      </c>
      <c r="G17" s="99">
        <v>0</v>
      </c>
      <c r="H17" s="98">
        <v>222</v>
      </c>
      <c r="I17" s="98">
        <v>841</v>
      </c>
      <c r="J17" s="98">
        <v>130</v>
      </c>
      <c r="K17" s="98">
        <v>390</v>
      </c>
      <c r="L17" s="99">
        <f t="shared" si="0"/>
        <v>46.37336504161712</v>
      </c>
      <c r="M17" s="98">
        <v>588</v>
      </c>
      <c r="N17" s="98">
        <v>2589</v>
      </c>
      <c r="O17" s="98">
        <v>489</v>
      </c>
      <c r="P17" s="98">
        <v>3014</v>
      </c>
      <c r="Q17" s="99">
        <f t="shared" si="1"/>
        <v>116.41560448049439</v>
      </c>
      <c r="R17" s="110"/>
      <c r="T17" s="110"/>
    </row>
    <row r="18" spans="1:20">
      <c r="A18" s="57">
        <v>13</v>
      </c>
      <c r="B18" s="97" t="s">
        <v>63</v>
      </c>
      <c r="C18" s="98">
        <v>0</v>
      </c>
      <c r="D18" s="98">
        <v>0</v>
      </c>
      <c r="E18" s="98">
        <v>0</v>
      </c>
      <c r="F18" s="98">
        <v>0</v>
      </c>
      <c r="G18" s="99">
        <v>0</v>
      </c>
      <c r="H18" s="98">
        <v>246</v>
      </c>
      <c r="I18" s="98">
        <v>864</v>
      </c>
      <c r="J18" s="98">
        <v>33</v>
      </c>
      <c r="K18" s="98">
        <v>27</v>
      </c>
      <c r="L18" s="99">
        <f t="shared" si="0"/>
        <v>3.125</v>
      </c>
      <c r="M18" s="98">
        <v>976</v>
      </c>
      <c r="N18" s="98">
        <v>3919</v>
      </c>
      <c r="O18" s="98">
        <v>255</v>
      </c>
      <c r="P18" s="98">
        <v>281</v>
      </c>
      <c r="Q18" s="99">
        <f t="shared" si="1"/>
        <v>7.1701964786935442</v>
      </c>
      <c r="R18" s="110"/>
      <c r="T18" s="110"/>
    </row>
    <row r="19" spans="1:20">
      <c r="A19" s="57">
        <v>14</v>
      </c>
      <c r="B19" s="101" t="s">
        <v>206</v>
      </c>
      <c r="C19" s="98">
        <v>24</v>
      </c>
      <c r="D19" s="98">
        <v>112</v>
      </c>
      <c r="E19" s="98">
        <v>1</v>
      </c>
      <c r="F19" s="98">
        <v>398</v>
      </c>
      <c r="G19" s="99">
        <f>F19*100/D19</f>
        <v>355.35714285714283</v>
      </c>
      <c r="H19" s="98">
        <v>1044</v>
      </c>
      <c r="I19" s="98">
        <v>3834</v>
      </c>
      <c r="J19" s="98">
        <v>190</v>
      </c>
      <c r="K19" s="98">
        <v>642.27</v>
      </c>
      <c r="L19" s="99">
        <f t="shared" si="0"/>
        <v>16.751956181533647</v>
      </c>
      <c r="M19" s="98">
        <v>3579</v>
      </c>
      <c r="N19" s="98">
        <v>14738</v>
      </c>
      <c r="O19" s="98">
        <v>977</v>
      </c>
      <c r="P19" s="98">
        <v>3245.78</v>
      </c>
      <c r="Q19" s="99">
        <f t="shared" si="1"/>
        <v>22.023205319582033</v>
      </c>
      <c r="R19" s="110"/>
      <c r="T19" s="110"/>
    </row>
    <row r="20" spans="1:20">
      <c r="A20" s="57">
        <v>15</v>
      </c>
      <c r="B20" s="97" t="s">
        <v>207</v>
      </c>
      <c r="C20" s="98">
        <v>0</v>
      </c>
      <c r="D20" s="98">
        <v>0</v>
      </c>
      <c r="E20" s="98">
        <v>0</v>
      </c>
      <c r="F20" s="98">
        <v>0</v>
      </c>
      <c r="G20" s="99">
        <v>0</v>
      </c>
      <c r="H20" s="98">
        <v>416</v>
      </c>
      <c r="I20" s="98">
        <v>1502</v>
      </c>
      <c r="J20" s="98">
        <v>29</v>
      </c>
      <c r="K20" s="98">
        <v>313.88</v>
      </c>
      <c r="L20" s="99">
        <f t="shared" si="0"/>
        <v>20.897470039946736</v>
      </c>
      <c r="M20" s="98">
        <v>1180</v>
      </c>
      <c r="N20" s="98">
        <v>4913</v>
      </c>
      <c r="O20" s="98">
        <v>217</v>
      </c>
      <c r="P20" s="98">
        <v>2968.94</v>
      </c>
      <c r="Q20" s="99">
        <f t="shared" si="1"/>
        <v>60.43028699369021</v>
      </c>
      <c r="R20" s="110"/>
      <c r="T20" s="110"/>
    </row>
    <row r="21" spans="1:20">
      <c r="A21" s="57">
        <v>16</v>
      </c>
      <c r="B21" s="97" t="s">
        <v>64</v>
      </c>
      <c r="C21" s="98">
        <v>111</v>
      </c>
      <c r="D21" s="98">
        <v>3089</v>
      </c>
      <c r="E21" s="98">
        <v>1</v>
      </c>
      <c r="F21" s="98">
        <v>607</v>
      </c>
      <c r="G21" s="99">
        <f>F21*100/D21</f>
        <v>19.65037228876659</v>
      </c>
      <c r="H21" s="98">
        <v>3332</v>
      </c>
      <c r="I21" s="98">
        <v>12393</v>
      </c>
      <c r="J21" s="98">
        <v>1928</v>
      </c>
      <c r="K21" s="98">
        <v>3307</v>
      </c>
      <c r="L21" s="99">
        <f t="shared" si="0"/>
        <v>26.684418623416445</v>
      </c>
      <c r="M21" s="98">
        <v>12873</v>
      </c>
      <c r="N21" s="98">
        <v>53805</v>
      </c>
      <c r="O21" s="98">
        <v>14370</v>
      </c>
      <c r="P21" s="98">
        <v>18307</v>
      </c>
      <c r="Q21" s="99">
        <f t="shared" si="1"/>
        <v>34.024718892296256</v>
      </c>
      <c r="R21" s="110"/>
      <c r="T21" s="110"/>
    </row>
    <row r="22" spans="1:20">
      <c r="A22" s="57">
        <v>17</v>
      </c>
      <c r="B22" s="102" t="s">
        <v>69</v>
      </c>
      <c r="C22" s="98">
        <v>0</v>
      </c>
      <c r="D22" s="98">
        <v>0</v>
      </c>
      <c r="E22" s="98">
        <v>0</v>
      </c>
      <c r="F22" s="98">
        <v>0</v>
      </c>
      <c r="G22" s="99">
        <v>0</v>
      </c>
      <c r="H22" s="98">
        <v>92</v>
      </c>
      <c r="I22" s="98">
        <v>286</v>
      </c>
      <c r="J22" s="98">
        <v>0</v>
      </c>
      <c r="K22" s="98">
        <v>0</v>
      </c>
      <c r="L22" s="99">
        <f t="shared" si="0"/>
        <v>0</v>
      </c>
      <c r="M22" s="98">
        <v>326</v>
      </c>
      <c r="N22" s="98">
        <v>1487</v>
      </c>
      <c r="O22" s="98">
        <v>0</v>
      </c>
      <c r="P22" s="98">
        <v>0</v>
      </c>
      <c r="Q22" s="99">
        <f t="shared" si="1"/>
        <v>0</v>
      </c>
      <c r="R22" s="110"/>
      <c r="T22" s="110"/>
    </row>
    <row r="23" spans="1:20">
      <c r="A23" s="57">
        <v>18</v>
      </c>
      <c r="B23" s="97" t="s">
        <v>208</v>
      </c>
      <c r="C23" s="98">
        <v>0</v>
      </c>
      <c r="D23" s="98">
        <v>0</v>
      </c>
      <c r="E23" s="98">
        <v>0</v>
      </c>
      <c r="F23" s="98">
        <v>0</v>
      </c>
      <c r="G23" s="99">
        <v>0</v>
      </c>
      <c r="H23" s="98">
        <v>47</v>
      </c>
      <c r="I23" s="98">
        <v>160</v>
      </c>
      <c r="J23" s="98">
        <v>0</v>
      </c>
      <c r="K23" s="98">
        <v>0</v>
      </c>
      <c r="L23" s="99">
        <f t="shared" si="0"/>
        <v>0</v>
      </c>
      <c r="M23" s="98">
        <v>176</v>
      </c>
      <c r="N23" s="98">
        <v>817</v>
      </c>
      <c r="O23" s="98">
        <v>0</v>
      </c>
      <c r="P23" s="98">
        <v>0</v>
      </c>
      <c r="Q23" s="99">
        <f t="shared" si="1"/>
        <v>0</v>
      </c>
      <c r="R23" s="110"/>
      <c r="T23" s="110"/>
    </row>
    <row r="24" spans="1:20">
      <c r="A24" s="57">
        <v>19</v>
      </c>
      <c r="B24" s="103" t="s">
        <v>209</v>
      </c>
      <c r="C24" s="98">
        <v>0</v>
      </c>
      <c r="D24" s="98">
        <v>0</v>
      </c>
      <c r="E24" s="98">
        <v>0</v>
      </c>
      <c r="F24" s="98">
        <v>0</v>
      </c>
      <c r="G24" s="99">
        <v>0</v>
      </c>
      <c r="H24" s="98">
        <v>80</v>
      </c>
      <c r="I24" s="98">
        <v>275</v>
      </c>
      <c r="J24" s="98">
        <v>0</v>
      </c>
      <c r="K24" s="98">
        <v>0</v>
      </c>
      <c r="L24" s="99">
        <f t="shared" si="0"/>
        <v>0</v>
      </c>
      <c r="M24" s="98">
        <v>438</v>
      </c>
      <c r="N24" s="98">
        <v>1921</v>
      </c>
      <c r="O24" s="98">
        <v>0</v>
      </c>
      <c r="P24" s="98">
        <v>0</v>
      </c>
      <c r="Q24" s="99">
        <f t="shared" si="1"/>
        <v>0</v>
      </c>
      <c r="R24" s="110"/>
      <c r="T24" s="110"/>
    </row>
    <row r="25" spans="1:20">
      <c r="A25" s="57">
        <v>20</v>
      </c>
      <c r="B25" s="97" t="s">
        <v>210</v>
      </c>
      <c r="C25" s="98">
        <v>0</v>
      </c>
      <c r="D25" s="98">
        <v>0</v>
      </c>
      <c r="E25" s="98">
        <v>0</v>
      </c>
      <c r="F25" s="98">
        <v>0</v>
      </c>
      <c r="G25" s="99">
        <v>0</v>
      </c>
      <c r="H25" s="98">
        <v>74</v>
      </c>
      <c r="I25" s="98">
        <v>273</v>
      </c>
      <c r="J25" s="98">
        <v>0</v>
      </c>
      <c r="K25" s="98">
        <v>0</v>
      </c>
      <c r="L25" s="99">
        <f t="shared" si="0"/>
        <v>0</v>
      </c>
      <c r="M25" s="98">
        <v>266</v>
      </c>
      <c r="N25" s="98">
        <v>1213</v>
      </c>
      <c r="O25" s="98">
        <v>0</v>
      </c>
      <c r="P25" s="98">
        <v>0</v>
      </c>
      <c r="Q25" s="99">
        <f t="shared" si="1"/>
        <v>0</v>
      </c>
      <c r="R25" s="110"/>
      <c r="T25" s="110"/>
    </row>
    <row r="26" spans="1:20">
      <c r="A26" s="57">
        <v>21</v>
      </c>
      <c r="B26" s="97" t="s">
        <v>211</v>
      </c>
      <c r="C26" s="98">
        <v>0</v>
      </c>
      <c r="D26" s="98">
        <v>0</v>
      </c>
      <c r="E26" s="98">
        <v>0</v>
      </c>
      <c r="F26" s="98">
        <v>0</v>
      </c>
      <c r="G26" s="99">
        <v>0</v>
      </c>
      <c r="H26" s="98">
        <v>152</v>
      </c>
      <c r="I26" s="98">
        <v>506</v>
      </c>
      <c r="J26" s="98">
        <v>0</v>
      </c>
      <c r="K26" s="98">
        <v>0</v>
      </c>
      <c r="L26" s="99">
        <f t="shared" si="0"/>
        <v>0</v>
      </c>
      <c r="M26" s="98">
        <v>600</v>
      </c>
      <c r="N26" s="98">
        <v>2359</v>
      </c>
      <c r="O26" s="98">
        <v>0</v>
      </c>
      <c r="P26" s="98">
        <v>0</v>
      </c>
      <c r="Q26" s="99">
        <f t="shared" si="1"/>
        <v>0</v>
      </c>
      <c r="R26" s="110"/>
      <c r="T26" s="110"/>
    </row>
    <row r="27" spans="1:20" s="107" customFormat="1">
      <c r="A27" s="57">
        <v>22</v>
      </c>
      <c r="B27" s="97" t="s">
        <v>70</v>
      </c>
      <c r="C27" s="98">
        <v>232</v>
      </c>
      <c r="D27" s="98">
        <v>8775</v>
      </c>
      <c r="E27" s="98">
        <v>27</v>
      </c>
      <c r="F27" s="98">
        <v>10826</v>
      </c>
      <c r="G27" s="99">
        <f>F27*100/D27</f>
        <v>123.37321937321937</v>
      </c>
      <c r="H27" s="98">
        <v>12792</v>
      </c>
      <c r="I27" s="98">
        <v>45435</v>
      </c>
      <c r="J27" s="98">
        <v>6874</v>
      </c>
      <c r="K27" s="98">
        <v>7939</v>
      </c>
      <c r="L27" s="99">
        <f t="shared" si="0"/>
        <v>17.473313524815669</v>
      </c>
      <c r="M27" s="98">
        <v>48668</v>
      </c>
      <c r="N27" s="98">
        <v>194981</v>
      </c>
      <c r="O27" s="98">
        <v>79547</v>
      </c>
      <c r="P27" s="98">
        <v>149716</v>
      </c>
      <c r="Q27" s="99">
        <f t="shared" si="1"/>
        <v>76.784917504782513</v>
      </c>
      <c r="R27" s="110"/>
      <c r="S27" s="61"/>
      <c r="T27" s="110"/>
    </row>
    <row r="28" spans="1:20">
      <c r="A28" s="57">
        <v>23</v>
      </c>
      <c r="B28" s="97" t="s">
        <v>65</v>
      </c>
      <c r="C28" s="98">
        <v>0</v>
      </c>
      <c r="D28" s="98">
        <v>0</v>
      </c>
      <c r="E28" s="98">
        <v>0</v>
      </c>
      <c r="F28" s="98">
        <v>0</v>
      </c>
      <c r="G28" s="99">
        <v>0</v>
      </c>
      <c r="H28" s="98">
        <v>485</v>
      </c>
      <c r="I28" s="98">
        <v>1723</v>
      </c>
      <c r="J28" s="98">
        <v>310</v>
      </c>
      <c r="K28" s="98">
        <v>1038</v>
      </c>
      <c r="L28" s="99">
        <f t="shared" si="0"/>
        <v>60.243760882182244</v>
      </c>
      <c r="M28" s="98">
        <v>1228</v>
      </c>
      <c r="N28" s="98">
        <v>6280</v>
      </c>
      <c r="O28" s="98">
        <v>1365</v>
      </c>
      <c r="P28" s="98">
        <v>6182</v>
      </c>
      <c r="Q28" s="99">
        <f t="shared" si="1"/>
        <v>98.439490445859875</v>
      </c>
      <c r="R28" s="110"/>
      <c r="T28" s="110"/>
    </row>
    <row r="29" spans="1:20">
      <c r="A29" s="57">
        <v>24</v>
      </c>
      <c r="B29" s="97" t="s">
        <v>212</v>
      </c>
      <c r="C29" s="98">
        <v>101</v>
      </c>
      <c r="D29" s="98">
        <v>2600</v>
      </c>
      <c r="E29" s="98">
        <v>0</v>
      </c>
      <c r="F29" s="98">
        <v>0</v>
      </c>
      <c r="G29" s="99">
        <f>F29*100/D29</f>
        <v>0</v>
      </c>
      <c r="H29" s="98">
        <v>1008</v>
      </c>
      <c r="I29" s="98">
        <v>3443</v>
      </c>
      <c r="J29" s="98">
        <v>73</v>
      </c>
      <c r="K29" s="98">
        <v>244</v>
      </c>
      <c r="L29" s="99">
        <f t="shared" si="0"/>
        <v>7.0868428695904733</v>
      </c>
      <c r="M29" s="98">
        <v>3792</v>
      </c>
      <c r="N29" s="98">
        <v>15487</v>
      </c>
      <c r="O29" s="98">
        <v>274</v>
      </c>
      <c r="P29" s="98">
        <v>735</v>
      </c>
      <c r="Q29" s="99">
        <f t="shared" si="1"/>
        <v>4.7459159294892492</v>
      </c>
      <c r="R29" s="110"/>
      <c r="T29" s="110"/>
    </row>
    <row r="30" spans="1:20">
      <c r="A30" s="57">
        <v>25</v>
      </c>
      <c r="B30" s="97" t="s">
        <v>66</v>
      </c>
      <c r="C30" s="98">
        <v>122</v>
      </c>
      <c r="D30" s="98">
        <v>3094</v>
      </c>
      <c r="E30" s="98">
        <v>0</v>
      </c>
      <c r="F30" s="98">
        <v>0</v>
      </c>
      <c r="G30" s="99">
        <f>F30*100/D30</f>
        <v>0</v>
      </c>
      <c r="H30" s="98">
        <v>1498</v>
      </c>
      <c r="I30" s="98">
        <v>5699</v>
      </c>
      <c r="J30" s="98">
        <v>1222</v>
      </c>
      <c r="K30" s="98">
        <v>1388</v>
      </c>
      <c r="L30" s="99">
        <f t="shared" si="0"/>
        <v>24.355150026320405</v>
      </c>
      <c r="M30" s="98">
        <v>8740</v>
      </c>
      <c r="N30" s="98">
        <v>24155</v>
      </c>
      <c r="O30" s="98">
        <v>12772</v>
      </c>
      <c r="P30" s="98">
        <v>8672</v>
      </c>
      <c r="Q30" s="99">
        <f t="shared" si="1"/>
        <v>35.901469675015527</v>
      </c>
      <c r="R30" s="110"/>
      <c r="T30" s="110"/>
    </row>
    <row r="31" spans="1:20">
      <c r="A31" s="57">
        <v>26</v>
      </c>
      <c r="B31" s="100" t="s">
        <v>67</v>
      </c>
      <c r="C31" s="98">
        <v>0</v>
      </c>
      <c r="D31" s="98">
        <v>0</v>
      </c>
      <c r="E31" s="98">
        <v>0</v>
      </c>
      <c r="F31" s="98">
        <v>0</v>
      </c>
      <c r="G31" s="99">
        <v>0</v>
      </c>
      <c r="H31" s="98">
        <v>121</v>
      </c>
      <c r="I31" s="98">
        <v>424</v>
      </c>
      <c r="J31" s="98">
        <v>5</v>
      </c>
      <c r="K31" s="98">
        <v>18</v>
      </c>
      <c r="L31" s="99">
        <f t="shared" si="0"/>
        <v>4.2452830188679247</v>
      </c>
      <c r="M31" s="98">
        <v>304</v>
      </c>
      <c r="N31" s="98">
        <v>1688</v>
      </c>
      <c r="O31" s="98">
        <v>87</v>
      </c>
      <c r="P31" s="98">
        <v>1070</v>
      </c>
      <c r="Q31" s="99">
        <f t="shared" si="1"/>
        <v>63.388625592417064</v>
      </c>
      <c r="R31" s="110"/>
      <c r="T31" s="110"/>
    </row>
    <row r="32" spans="1:20">
      <c r="A32" s="57">
        <v>27</v>
      </c>
      <c r="B32" s="97" t="s">
        <v>50</v>
      </c>
      <c r="C32" s="98">
        <v>0</v>
      </c>
      <c r="D32" s="98">
        <v>0</v>
      </c>
      <c r="E32" s="98">
        <v>0</v>
      </c>
      <c r="F32" s="98">
        <v>0</v>
      </c>
      <c r="G32" s="99">
        <v>0</v>
      </c>
      <c r="H32" s="98">
        <v>199</v>
      </c>
      <c r="I32" s="98">
        <v>745</v>
      </c>
      <c r="J32" s="98">
        <v>451</v>
      </c>
      <c r="K32" s="98">
        <v>1110</v>
      </c>
      <c r="L32" s="99">
        <f t="shared" si="0"/>
        <v>148.99328859060404</v>
      </c>
      <c r="M32" s="98">
        <v>744</v>
      </c>
      <c r="N32" s="98">
        <v>2912</v>
      </c>
      <c r="O32" s="98">
        <v>1999</v>
      </c>
      <c r="P32" s="98">
        <v>15640</v>
      </c>
      <c r="Q32" s="99">
        <f t="shared" si="1"/>
        <v>537.08791208791206</v>
      </c>
      <c r="R32" s="110"/>
      <c r="T32" s="110"/>
    </row>
    <row r="33" spans="1:20" s="107" customFormat="1">
      <c r="A33" s="383"/>
      <c r="B33" s="104" t="s">
        <v>213</v>
      </c>
      <c r="C33" s="105">
        <f>SUM(C6:C32)</f>
        <v>1095</v>
      </c>
      <c r="D33" s="105">
        <f t="shared" ref="D33:P33" si="2">SUM(D6:D32)</f>
        <v>35344</v>
      </c>
      <c r="E33" s="105">
        <f t="shared" si="2"/>
        <v>54</v>
      </c>
      <c r="F33" s="105">
        <f t="shared" si="2"/>
        <v>15681</v>
      </c>
      <c r="G33" s="96">
        <f>F33*100/D33</f>
        <v>44.366794929832501</v>
      </c>
      <c r="H33" s="105">
        <f t="shared" si="2"/>
        <v>31954</v>
      </c>
      <c r="I33" s="105">
        <f t="shared" si="2"/>
        <v>115768</v>
      </c>
      <c r="J33" s="105">
        <f t="shared" si="2"/>
        <v>19025</v>
      </c>
      <c r="K33" s="105">
        <f t="shared" si="2"/>
        <v>34177.270000000004</v>
      </c>
      <c r="L33" s="96">
        <f t="shared" si="0"/>
        <v>29.522208209522496</v>
      </c>
      <c r="M33" s="105">
        <f t="shared" si="2"/>
        <v>126567</v>
      </c>
      <c r="N33" s="105">
        <f t="shared" si="2"/>
        <v>479584</v>
      </c>
      <c r="O33" s="105">
        <f t="shared" si="2"/>
        <v>150711</v>
      </c>
      <c r="P33" s="105">
        <f t="shared" si="2"/>
        <v>311610.98</v>
      </c>
      <c r="Q33" s="96">
        <f t="shared" si="1"/>
        <v>64.975266063922064</v>
      </c>
      <c r="R33" s="110"/>
      <c r="T33" s="110"/>
    </row>
    <row r="34" spans="1:20" s="107" customFormat="1">
      <c r="A34" s="57">
        <v>28</v>
      </c>
      <c r="B34" s="97" t="s">
        <v>47</v>
      </c>
      <c r="C34" s="98">
        <v>85</v>
      </c>
      <c r="D34" s="98">
        <v>1149</v>
      </c>
      <c r="E34" s="98">
        <v>0</v>
      </c>
      <c r="F34" s="98">
        <v>0</v>
      </c>
      <c r="G34" s="99">
        <f>F34*100/D34</f>
        <v>0</v>
      </c>
      <c r="H34" s="98">
        <v>538</v>
      </c>
      <c r="I34" s="98">
        <v>1893</v>
      </c>
      <c r="J34" s="98">
        <v>516</v>
      </c>
      <c r="K34" s="98">
        <v>1322.54</v>
      </c>
      <c r="L34" s="99">
        <f t="shared" si="0"/>
        <v>69.864764923402007</v>
      </c>
      <c r="M34" s="98">
        <v>2191</v>
      </c>
      <c r="N34" s="98">
        <v>9983</v>
      </c>
      <c r="O34" s="98">
        <v>1793</v>
      </c>
      <c r="P34" s="98">
        <v>11742.31</v>
      </c>
      <c r="Q34" s="99">
        <f t="shared" si="1"/>
        <v>117.62305920064109</v>
      </c>
      <c r="R34" s="110"/>
      <c r="S34" s="61"/>
      <c r="T34" s="110"/>
    </row>
    <row r="35" spans="1:20">
      <c r="A35" s="57">
        <v>29</v>
      </c>
      <c r="B35" s="97" t="s">
        <v>214</v>
      </c>
      <c r="C35" s="98">
        <v>0</v>
      </c>
      <c r="D35" s="98">
        <v>0</v>
      </c>
      <c r="E35" s="98">
        <v>0</v>
      </c>
      <c r="F35" s="98">
        <v>0</v>
      </c>
      <c r="G35" s="99">
        <v>0</v>
      </c>
      <c r="H35" s="98">
        <v>4</v>
      </c>
      <c r="I35" s="98">
        <v>10</v>
      </c>
      <c r="J35" s="98">
        <v>2088</v>
      </c>
      <c r="K35" s="98">
        <v>63.52</v>
      </c>
      <c r="L35" s="99">
        <f t="shared" si="0"/>
        <v>635.20000000000005</v>
      </c>
      <c r="M35" s="98">
        <v>28</v>
      </c>
      <c r="N35" s="98">
        <v>62</v>
      </c>
      <c r="O35" s="98">
        <v>2</v>
      </c>
      <c r="P35" s="98">
        <v>14.6</v>
      </c>
      <c r="Q35" s="99">
        <f t="shared" si="1"/>
        <v>23.548387096774192</v>
      </c>
      <c r="R35" s="110"/>
      <c r="T35" s="110"/>
    </row>
    <row r="36" spans="1:20">
      <c r="A36" s="57">
        <v>30</v>
      </c>
      <c r="B36" s="58" t="s">
        <v>215</v>
      </c>
      <c r="C36" s="98">
        <v>0</v>
      </c>
      <c r="D36" s="98">
        <v>0</v>
      </c>
      <c r="E36" s="98">
        <v>0</v>
      </c>
      <c r="F36" s="98">
        <v>0</v>
      </c>
      <c r="G36" s="99">
        <v>0</v>
      </c>
      <c r="H36" s="98">
        <v>0</v>
      </c>
      <c r="I36" s="98">
        <v>0</v>
      </c>
      <c r="J36" s="98">
        <v>0</v>
      </c>
      <c r="K36" s="98">
        <v>0</v>
      </c>
      <c r="L36" s="99">
        <v>0</v>
      </c>
      <c r="M36" s="98">
        <v>0</v>
      </c>
      <c r="N36" s="98">
        <v>0</v>
      </c>
      <c r="O36" s="98">
        <v>0</v>
      </c>
      <c r="P36" s="98">
        <v>0</v>
      </c>
      <c r="Q36" s="99">
        <v>0</v>
      </c>
      <c r="R36" s="110"/>
      <c r="T36" s="110"/>
    </row>
    <row r="37" spans="1:20">
      <c r="A37" s="57">
        <v>31</v>
      </c>
      <c r="B37" s="58" t="s">
        <v>78</v>
      </c>
      <c r="C37" s="98">
        <v>0</v>
      </c>
      <c r="D37" s="98">
        <v>0</v>
      </c>
      <c r="E37" s="98">
        <v>0</v>
      </c>
      <c r="F37" s="98">
        <v>0</v>
      </c>
      <c r="G37" s="99">
        <v>0</v>
      </c>
      <c r="H37" s="98">
        <v>0</v>
      </c>
      <c r="I37" s="98">
        <v>0</v>
      </c>
      <c r="J37" s="98">
        <v>0</v>
      </c>
      <c r="K37" s="98">
        <v>0</v>
      </c>
      <c r="L37" s="99">
        <v>0</v>
      </c>
      <c r="M37" s="98"/>
      <c r="N37" s="98">
        <v>0</v>
      </c>
      <c r="O37" s="98">
        <v>0</v>
      </c>
      <c r="P37" s="98">
        <v>0</v>
      </c>
      <c r="Q37" s="99">
        <v>0</v>
      </c>
      <c r="R37" s="110"/>
      <c r="T37" s="110"/>
    </row>
    <row r="38" spans="1:20">
      <c r="A38" s="57">
        <v>32</v>
      </c>
      <c r="B38" s="97" t="s">
        <v>51</v>
      </c>
      <c r="C38" s="98">
        <v>0</v>
      </c>
      <c r="D38" s="98">
        <v>0</v>
      </c>
      <c r="E38" s="98">
        <v>0</v>
      </c>
      <c r="F38" s="98">
        <v>0</v>
      </c>
      <c r="G38" s="99">
        <v>0</v>
      </c>
      <c r="H38" s="98">
        <v>4</v>
      </c>
      <c r="I38" s="98">
        <v>8</v>
      </c>
      <c r="J38" s="98">
        <v>1</v>
      </c>
      <c r="K38" s="98">
        <v>1.61</v>
      </c>
      <c r="L38" s="99">
        <f t="shared" si="0"/>
        <v>20.125</v>
      </c>
      <c r="M38" s="98">
        <v>16</v>
      </c>
      <c r="N38" s="98">
        <v>75</v>
      </c>
      <c r="O38" s="98">
        <v>9</v>
      </c>
      <c r="P38" s="98">
        <v>136.68</v>
      </c>
      <c r="Q38" s="99">
        <f t="shared" si="1"/>
        <v>182.24</v>
      </c>
      <c r="R38" s="110"/>
      <c r="T38" s="110"/>
    </row>
    <row r="39" spans="1:20">
      <c r="A39" s="57">
        <v>33</v>
      </c>
      <c r="B39" s="97" t="s">
        <v>216</v>
      </c>
      <c r="C39" s="98">
        <v>0</v>
      </c>
      <c r="D39" s="98">
        <v>0</v>
      </c>
      <c r="E39" s="98">
        <v>0</v>
      </c>
      <c r="F39" s="98">
        <v>0</v>
      </c>
      <c r="G39" s="99">
        <v>0</v>
      </c>
      <c r="H39" s="98">
        <v>8</v>
      </c>
      <c r="I39" s="98">
        <v>40</v>
      </c>
      <c r="J39" s="98">
        <v>0</v>
      </c>
      <c r="K39" s="98">
        <v>0</v>
      </c>
      <c r="L39" s="99">
        <f t="shared" si="0"/>
        <v>0</v>
      </c>
      <c r="M39" s="98">
        <v>10</v>
      </c>
      <c r="N39" s="98">
        <v>40</v>
      </c>
      <c r="O39" s="98">
        <v>157</v>
      </c>
      <c r="P39" s="98">
        <v>654.41999999999996</v>
      </c>
      <c r="Q39" s="99">
        <f t="shared" si="1"/>
        <v>1636.0499999999997</v>
      </c>
      <c r="R39" s="110"/>
      <c r="T39" s="110"/>
    </row>
    <row r="40" spans="1:20">
      <c r="A40" s="57">
        <v>34</v>
      </c>
      <c r="B40" s="97" t="s">
        <v>217</v>
      </c>
      <c r="C40" s="98">
        <v>0</v>
      </c>
      <c r="D40" s="98">
        <v>0</v>
      </c>
      <c r="E40" s="98">
        <v>0</v>
      </c>
      <c r="F40" s="98">
        <v>0</v>
      </c>
      <c r="G40" s="99">
        <v>0</v>
      </c>
      <c r="H40" s="98">
        <v>36</v>
      </c>
      <c r="I40" s="98">
        <v>135</v>
      </c>
      <c r="J40" s="98">
        <v>0</v>
      </c>
      <c r="K40" s="98">
        <v>0</v>
      </c>
      <c r="L40" s="99">
        <f t="shared" si="0"/>
        <v>0</v>
      </c>
      <c r="M40" s="98">
        <v>128</v>
      </c>
      <c r="N40" s="98">
        <v>568</v>
      </c>
      <c r="O40" s="98">
        <v>0</v>
      </c>
      <c r="P40" s="98">
        <v>0</v>
      </c>
      <c r="Q40" s="99">
        <f t="shared" si="1"/>
        <v>0</v>
      </c>
      <c r="R40" s="110"/>
      <c r="T40" s="110"/>
    </row>
    <row r="41" spans="1:20">
      <c r="A41" s="57">
        <v>35</v>
      </c>
      <c r="B41" s="97" t="s">
        <v>218</v>
      </c>
      <c r="C41" s="98">
        <v>0</v>
      </c>
      <c r="D41" s="98">
        <v>0</v>
      </c>
      <c r="E41" s="98">
        <v>0</v>
      </c>
      <c r="F41" s="98">
        <v>0</v>
      </c>
      <c r="G41" s="99">
        <v>0</v>
      </c>
      <c r="H41" s="98">
        <v>74</v>
      </c>
      <c r="I41" s="98">
        <v>255</v>
      </c>
      <c r="J41" s="98">
        <v>5</v>
      </c>
      <c r="K41" s="98">
        <v>11</v>
      </c>
      <c r="L41" s="99">
        <f t="shared" si="0"/>
        <v>4.3137254901960782</v>
      </c>
      <c r="M41" s="98">
        <v>268</v>
      </c>
      <c r="N41" s="98">
        <v>1214</v>
      </c>
      <c r="O41" s="98">
        <v>30</v>
      </c>
      <c r="P41" s="98">
        <v>312</v>
      </c>
      <c r="Q41" s="99">
        <f t="shared" si="1"/>
        <v>25.7001647446458</v>
      </c>
      <c r="R41" s="110"/>
      <c r="T41" s="110"/>
    </row>
    <row r="42" spans="1:20">
      <c r="A42" s="57">
        <v>36</v>
      </c>
      <c r="B42" s="97" t="s">
        <v>71</v>
      </c>
      <c r="C42" s="98">
        <v>87</v>
      </c>
      <c r="D42" s="98">
        <v>3019</v>
      </c>
      <c r="E42" s="98">
        <v>24</v>
      </c>
      <c r="F42" s="98">
        <v>6184</v>
      </c>
      <c r="G42" s="99">
        <f>F42*100/D42</f>
        <v>204.83603842331897</v>
      </c>
      <c r="H42" s="98">
        <v>1028</v>
      </c>
      <c r="I42" s="98">
        <v>3675</v>
      </c>
      <c r="J42" s="98">
        <v>390</v>
      </c>
      <c r="K42" s="98">
        <v>578.32000000000005</v>
      </c>
      <c r="L42" s="99">
        <f t="shared" si="0"/>
        <v>15.736598639455785</v>
      </c>
      <c r="M42" s="98">
        <v>4210</v>
      </c>
      <c r="N42" s="98">
        <v>18173</v>
      </c>
      <c r="O42" s="98">
        <v>1229</v>
      </c>
      <c r="P42" s="98">
        <v>3826.83</v>
      </c>
      <c r="Q42" s="99">
        <f t="shared" si="1"/>
        <v>21.057778022340834</v>
      </c>
      <c r="R42" s="110"/>
      <c r="T42" s="110"/>
    </row>
    <row r="43" spans="1:20">
      <c r="A43" s="57">
        <v>37</v>
      </c>
      <c r="B43" s="97" t="s">
        <v>72</v>
      </c>
      <c r="C43" s="98">
        <v>44</v>
      </c>
      <c r="D43" s="98">
        <v>2956</v>
      </c>
      <c r="E43" s="98">
        <v>0</v>
      </c>
      <c r="F43" s="98">
        <v>0</v>
      </c>
      <c r="G43" s="99">
        <v>0</v>
      </c>
      <c r="H43" s="98">
        <v>1050</v>
      </c>
      <c r="I43" s="98">
        <v>3652</v>
      </c>
      <c r="J43" s="98">
        <v>330</v>
      </c>
      <c r="K43" s="98">
        <v>495</v>
      </c>
      <c r="L43" s="99">
        <f t="shared" si="0"/>
        <v>13.554216867469879</v>
      </c>
      <c r="M43" s="98">
        <v>4348</v>
      </c>
      <c r="N43" s="98">
        <v>20226</v>
      </c>
      <c r="O43" s="98">
        <v>113</v>
      </c>
      <c r="P43" s="98">
        <v>1907</v>
      </c>
      <c r="Q43" s="99">
        <f t="shared" si="1"/>
        <v>9.428458419855632</v>
      </c>
      <c r="R43" s="110"/>
      <c r="T43" s="110"/>
    </row>
    <row r="44" spans="1:20">
      <c r="A44" s="57">
        <v>38</v>
      </c>
      <c r="B44" s="97" t="s">
        <v>219</v>
      </c>
      <c r="C44" s="98">
        <v>0</v>
      </c>
      <c r="D44" s="98">
        <v>0</v>
      </c>
      <c r="E44" s="98">
        <v>0</v>
      </c>
      <c r="F44" s="98">
        <v>0</v>
      </c>
      <c r="G44" s="99">
        <v>0</v>
      </c>
      <c r="H44" s="98">
        <v>0</v>
      </c>
      <c r="I44" s="98">
        <v>0</v>
      </c>
      <c r="J44" s="98">
        <v>0</v>
      </c>
      <c r="K44" s="98">
        <v>0</v>
      </c>
      <c r="L44" s="99">
        <v>0</v>
      </c>
      <c r="M44" s="98">
        <v>0</v>
      </c>
      <c r="N44" s="98">
        <v>0</v>
      </c>
      <c r="O44" s="98">
        <v>0</v>
      </c>
      <c r="P44" s="98">
        <v>0</v>
      </c>
      <c r="Q44" s="99">
        <v>0</v>
      </c>
      <c r="R44" s="110"/>
      <c r="T44" s="110"/>
    </row>
    <row r="45" spans="1:20">
      <c r="A45" s="57">
        <v>39</v>
      </c>
      <c r="B45" s="97" t="s">
        <v>220</v>
      </c>
      <c r="C45" s="98">
        <v>0</v>
      </c>
      <c r="D45" s="98">
        <v>0</v>
      </c>
      <c r="E45" s="98">
        <v>0</v>
      </c>
      <c r="F45" s="98">
        <v>0</v>
      </c>
      <c r="G45" s="99">
        <v>0</v>
      </c>
      <c r="H45" s="98">
        <v>178</v>
      </c>
      <c r="I45" s="98">
        <v>650</v>
      </c>
      <c r="J45" s="98">
        <v>0</v>
      </c>
      <c r="K45" s="98">
        <v>0</v>
      </c>
      <c r="L45" s="99">
        <f t="shared" si="0"/>
        <v>0</v>
      </c>
      <c r="M45" s="98">
        <v>559</v>
      </c>
      <c r="N45" s="98">
        <v>2475</v>
      </c>
      <c r="O45" s="98">
        <v>0</v>
      </c>
      <c r="P45" s="98">
        <v>0</v>
      </c>
      <c r="Q45" s="99">
        <f t="shared" si="1"/>
        <v>0</v>
      </c>
      <c r="R45" s="110"/>
      <c r="T45" s="110"/>
    </row>
    <row r="46" spans="1:20">
      <c r="A46" s="57">
        <v>40</v>
      </c>
      <c r="B46" s="97" t="s">
        <v>221</v>
      </c>
      <c r="C46" s="98">
        <v>0</v>
      </c>
      <c r="D46" s="98">
        <v>0</v>
      </c>
      <c r="E46" s="98">
        <v>0</v>
      </c>
      <c r="F46" s="98">
        <v>0</v>
      </c>
      <c r="G46" s="99">
        <v>0</v>
      </c>
      <c r="H46" s="98">
        <v>62</v>
      </c>
      <c r="I46" s="98">
        <v>224</v>
      </c>
      <c r="J46" s="98">
        <v>10</v>
      </c>
      <c r="K46" s="98">
        <v>32</v>
      </c>
      <c r="L46" s="99">
        <f t="shared" si="0"/>
        <v>14.285714285714286</v>
      </c>
      <c r="M46" s="98">
        <v>244</v>
      </c>
      <c r="N46" s="98">
        <v>1128</v>
      </c>
      <c r="O46" s="98">
        <v>82</v>
      </c>
      <c r="P46" s="98">
        <v>940</v>
      </c>
      <c r="Q46" s="99">
        <f t="shared" si="1"/>
        <v>83.333333333333329</v>
      </c>
      <c r="R46" s="110"/>
      <c r="T46" s="110"/>
    </row>
    <row r="47" spans="1:20">
      <c r="A47" s="57">
        <v>41</v>
      </c>
      <c r="B47" s="97" t="s">
        <v>222</v>
      </c>
      <c r="C47" s="98">
        <v>0</v>
      </c>
      <c r="D47" s="98">
        <v>0</v>
      </c>
      <c r="E47" s="98">
        <v>0</v>
      </c>
      <c r="F47" s="98">
        <v>0</v>
      </c>
      <c r="G47" s="99">
        <v>0</v>
      </c>
      <c r="H47" s="98">
        <v>64</v>
      </c>
      <c r="I47" s="98">
        <v>238</v>
      </c>
      <c r="J47" s="98">
        <v>0</v>
      </c>
      <c r="K47" s="98">
        <v>0</v>
      </c>
      <c r="L47" s="99">
        <f t="shared" si="0"/>
        <v>0</v>
      </c>
      <c r="M47" s="98">
        <v>266</v>
      </c>
      <c r="N47" s="98">
        <v>1101</v>
      </c>
      <c r="O47" s="98">
        <v>25</v>
      </c>
      <c r="P47" s="98">
        <v>471.65</v>
      </c>
      <c r="Q47" s="99">
        <f t="shared" si="1"/>
        <v>42.838328792007268</v>
      </c>
      <c r="R47" s="110"/>
      <c r="T47" s="110"/>
    </row>
    <row r="48" spans="1:20">
      <c r="A48" s="57">
        <v>42</v>
      </c>
      <c r="B48" s="97" t="s">
        <v>223</v>
      </c>
      <c r="C48" s="98">
        <v>0</v>
      </c>
      <c r="D48" s="98">
        <v>0</v>
      </c>
      <c r="E48" s="98">
        <v>0</v>
      </c>
      <c r="F48" s="98">
        <v>0</v>
      </c>
      <c r="G48" s="99">
        <v>0</v>
      </c>
      <c r="H48" s="98">
        <v>12</v>
      </c>
      <c r="I48" s="98">
        <v>33</v>
      </c>
      <c r="J48" s="98">
        <v>0</v>
      </c>
      <c r="K48" s="98">
        <v>0</v>
      </c>
      <c r="L48" s="99">
        <f t="shared" si="0"/>
        <v>0</v>
      </c>
      <c r="M48" s="98">
        <v>66</v>
      </c>
      <c r="N48" s="98">
        <v>323</v>
      </c>
      <c r="O48" s="98">
        <v>0</v>
      </c>
      <c r="P48" s="98">
        <v>0</v>
      </c>
      <c r="Q48" s="99">
        <f t="shared" si="1"/>
        <v>0</v>
      </c>
      <c r="R48" s="110"/>
      <c r="T48" s="110"/>
    </row>
    <row r="49" spans="1:20">
      <c r="A49" s="57">
        <v>43</v>
      </c>
      <c r="B49" s="106" t="s">
        <v>73</v>
      </c>
      <c r="C49" s="98">
        <v>0</v>
      </c>
      <c r="D49" s="98">
        <v>0</v>
      </c>
      <c r="E49" s="98">
        <v>0</v>
      </c>
      <c r="F49" s="98">
        <v>0</v>
      </c>
      <c r="G49" s="99">
        <v>0</v>
      </c>
      <c r="H49" s="98">
        <v>86</v>
      </c>
      <c r="I49" s="98">
        <v>311</v>
      </c>
      <c r="J49" s="98">
        <v>0</v>
      </c>
      <c r="K49" s="98">
        <v>0</v>
      </c>
      <c r="L49" s="99">
        <f t="shared" si="0"/>
        <v>0</v>
      </c>
      <c r="M49" s="98">
        <v>308</v>
      </c>
      <c r="N49" s="98">
        <v>1476</v>
      </c>
      <c r="O49" s="98">
        <v>14</v>
      </c>
      <c r="P49" s="98">
        <v>717</v>
      </c>
      <c r="Q49" s="99">
        <f t="shared" si="1"/>
        <v>48.577235772357724</v>
      </c>
      <c r="R49" s="110"/>
      <c r="T49" s="110"/>
    </row>
    <row r="50" spans="1:20">
      <c r="A50" s="57">
        <v>44</v>
      </c>
      <c r="B50" s="97" t="s">
        <v>224</v>
      </c>
      <c r="C50" s="98">
        <v>0</v>
      </c>
      <c r="D50" s="98">
        <v>0</v>
      </c>
      <c r="E50" s="98">
        <v>0</v>
      </c>
      <c r="F50" s="98">
        <v>0</v>
      </c>
      <c r="G50" s="99">
        <v>0</v>
      </c>
      <c r="H50" s="98">
        <v>4</v>
      </c>
      <c r="I50" s="98">
        <v>11</v>
      </c>
      <c r="J50" s="98">
        <v>0</v>
      </c>
      <c r="K50" s="98">
        <v>0</v>
      </c>
      <c r="L50" s="99">
        <f t="shared" si="0"/>
        <v>0</v>
      </c>
      <c r="M50" s="98">
        <v>22</v>
      </c>
      <c r="N50" s="98">
        <v>108</v>
      </c>
      <c r="O50" s="98">
        <v>0</v>
      </c>
      <c r="P50" s="98">
        <v>0</v>
      </c>
      <c r="Q50" s="99">
        <f t="shared" si="1"/>
        <v>0</v>
      </c>
      <c r="R50" s="110"/>
      <c r="T50" s="110"/>
    </row>
    <row r="51" spans="1:20">
      <c r="A51" s="57">
        <v>45</v>
      </c>
      <c r="B51" s="97" t="s">
        <v>225</v>
      </c>
      <c r="C51" s="98">
        <v>0</v>
      </c>
      <c r="D51" s="98">
        <v>0</v>
      </c>
      <c r="E51" s="98">
        <v>0</v>
      </c>
      <c r="F51" s="98">
        <v>0</v>
      </c>
      <c r="G51" s="99">
        <v>0</v>
      </c>
      <c r="H51" s="98">
        <v>14</v>
      </c>
      <c r="I51" s="98">
        <v>69</v>
      </c>
      <c r="J51" s="98">
        <v>379</v>
      </c>
      <c r="K51" s="98">
        <v>88</v>
      </c>
      <c r="L51" s="99">
        <f t="shared" si="0"/>
        <v>127.53623188405797</v>
      </c>
      <c r="M51" s="98">
        <v>20</v>
      </c>
      <c r="N51" s="98">
        <v>81</v>
      </c>
      <c r="O51" s="98">
        <v>226</v>
      </c>
      <c r="P51" s="98">
        <v>66</v>
      </c>
      <c r="Q51" s="99">
        <f t="shared" si="1"/>
        <v>81.481481481481481</v>
      </c>
      <c r="R51" s="110"/>
      <c r="T51" s="110"/>
    </row>
    <row r="52" spans="1:20" s="107" customFormat="1">
      <c r="A52" s="57">
        <v>46</v>
      </c>
      <c r="B52" s="97" t="s">
        <v>226</v>
      </c>
      <c r="C52" s="98">
        <v>0</v>
      </c>
      <c r="D52" s="98">
        <v>0</v>
      </c>
      <c r="E52" s="98">
        <v>0</v>
      </c>
      <c r="F52" s="98">
        <v>0</v>
      </c>
      <c r="G52" s="99">
        <v>0</v>
      </c>
      <c r="H52" s="98">
        <v>44</v>
      </c>
      <c r="I52" s="98">
        <v>149</v>
      </c>
      <c r="J52" s="98">
        <v>0</v>
      </c>
      <c r="K52" s="98">
        <v>0</v>
      </c>
      <c r="L52" s="99">
        <f t="shared" si="0"/>
        <v>0</v>
      </c>
      <c r="M52" s="98">
        <v>154</v>
      </c>
      <c r="N52" s="98">
        <v>706</v>
      </c>
      <c r="O52" s="98">
        <v>0</v>
      </c>
      <c r="P52" s="98">
        <v>0</v>
      </c>
      <c r="Q52" s="99">
        <f t="shared" si="1"/>
        <v>0</v>
      </c>
      <c r="R52" s="110"/>
      <c r="S52" s="61"/>
      <c r="T52" s="110"/>
    </row>
    <row r="53" spans="1:20">
      <c r="A53" s="57">
        <v>47</v>
      </c>
      <c r="B53" s="97" t="s">
        <v>77</v>
      </c>
      <c r="C53" s="98">
        <v>0</v>
      </c>
      <c r="D53" s="98">
        <v>0</v>
      </c>
      <c r="E53" s="98">
        <v>0</v>
      </c>
      <c r="F53" s="98">
        <v>0</v>
      </c>
      <c r="G53" s="99">
        <v>0</v>
      </c>
      <c r="H53" s="98">
        <v>0</v>
      </c>
      <c r="I53" s="98">
        <v>0</v>
      </c>
      <c r="J53" s="98">
        <v>0</v>
      </c>
      <c r="K53" s="98">
        <v>0</v>
      </c>
      <c r="L53" s="99">
        <v>0</v>
      </c>
      <c r="M53" s="98">
        <v>0</v>
      </c>
      <c r="N53" s="98">
        <v>0</v>
      </c>
      <c r="O53" s="98">
        <v>0</v>
      </c>
      <c r="P53" s="98">
        <v>0</v>
      </c>
      <c r="Q53" s="99">
        <v>0</v>
      </c>
      <c r="R53" s="110"/>
      <c r="T53" s="110"/>
    </row>
    <row r="54" spans="1:20">
      <c r="A54" s="57">
        <v>48</v>
      </c>
      <c r="B54" s="97" t="s">
        <v>227</v>
      </c>
      <c r="C54" s="98">
        <v>0</v>
      </c>
      <c r="D54" s="98">
        <v>0</v>
      </c>
      <c r="E54" s="98">
        <v>0</v>
      </c>
      <c r="F54" s="98">
        <v>0</v>
      </c>
      <c r="G54" s="99">
        <v>0</v>
      </c>
      <c r="H54" s="98">
        <v>0</v>
      </c>
      <c r="I54" s="98">
        <v>0</v>
      </c>
      <c r="J54" s="98">
        <v>0</v>
      </c>
      <c r="K54" s="98">
        <v>0</v>
      </c>
      <c r="L54" s="99">
        <v>0</v>
      </c>
      <c r="M54" s="98">
        <v>0</v>
      </c>
      <c r="N54" s="98">
        <v>0</v>
      </c>
      <c r="O54" s="98">
        <v>0</v>
      </c>
      <c r="P54" s="98">
        <v>0</v>
      </c>
      <c r="Q54" s="99">
        <v>0</v>
      </c>
      <c r="R54" s="110"/>
      <c r="T54" s="110"/>
    </row>
    <row r="55" spans="1:20">
      <c r="A55" s="57">
        <v>49</v>
      </c>
      <c r="B55" s="97" t="s">
        <v>76</v>
      </c>
      <c r="C55" s="98">
        <v>0</v>
      </c>
      <c r="D55" s="98">
        <v>0</v>
      </c>
      <c r="E55" s="98">
        <v>0</v>
      </c>
      <c r="F55" s="98">
        <v>0</v>
      </c>
      <c r="G55" s="99">
        <v>0</v>
      </c>
      <c r="H55" s="98">
        <v>98</v>
      </c>
      <c r="I55" s="98">
        <v>391</v>
      </c>
      <c r="J55" s="98">
        <v>0</v>
      </c>
      <c r="K55" s="98">
        <v>0</v>
      </c>
      <c r="L55" s="99">
        <f t="shared" si="0"/>
        <v>0</v>
      </c>
      <c r="M55" s="98">
        <v>328</v>
      </c>
      <c r="N55" s="98">
        <v>1392</v>
      </c>
      <c r="O55" s="98">
        <v>16</v>
      </c>
      <c r="P55" s="98">
        <v>146.74</v>
      </c>
      <c r="Q55" s="99">
        <f t="shared" si="1"/>
        <v>10.541666666666666</v>
      </c>
      <c r="R55" s="110"/>
      <c r="T55" s="110"/>
    </row>
    <row r="56" spans="1:20" s="107" customFormat="1">
      <c r="A56" s="383"/>
      <c r="B56" s="104" t="s">
        <v>287</v>
      </c>
      <c r="C56" s="105">
        <f>SUM(C34:C55)</f>
        <v>216</v>
      </c>
      <c r="D56" s="105">
        <f t="shared" ref="D56:P56" si="3">SUM(D34:D55)</f>
        <v>7124</v>
      </c>
      <c r="E56" s="105">
        <f t="shared" si="3"/>
        <v>24</v>
      </c>
      <c r="F56" s="105">
        <f t="shared" si="3"/>
        <v>6184</v>
      </c>
      <c r="G56" s="96">
        <f>F56*100/D56</f>
        <v>86.805165637282428</v>
      </c>
      <c r="H56" s="105">
        <f t="shared" si="3"/>
        <v>3304</v>
      </c>
      <c r="I56" s="105">
        <f t="shared" si="3"/>
        <v>11744</v>
      </c>
      <c r="J56" s="105">
        <f t="shared" si="3"/>
        <v>3719</v>
      </c>
      <c r="K56" s="105">
        <f t="shared" si="3"/>
        <v>2591.9899999999998</v>
      </c>
      <c r="L56" s="96">
        <f t="shared" si="0"/>
        <v>22.070759536784738</v>
      </c>
      <c r="M56" s="105">
        <f t="shared" si="3"/>
        <v>13166</v>
      </c>
      <c r="N56" s="105">
        <f t="shared" si="3"/>
        <v>59131</v>
      </c>
      <c r="O56" s="105">
        <f t="shared" si="3"/>
        <v>3696</v>
      </c>
      <c r="P56" s="105">
        <f t="shared" si="3"/>
        <v>20935.230000000003</v>
      </c>
      <c r="Q56" s="96">
        <f t="shared" si="1"/>
        <v>35.404829953831324</v>
      </c>
      <c r="R56" s="110"/>
      <c r="T56" s="110"/>
    </row>
    <row r="57" spans="1:20">
      <c r="A57" s="57">
        <v>50</v>
      </c>
      <c r="B57" s="97" t="s">
        <v>46</v>
      </c>
      <c r="C57" s="98">
        <v>0</v>
      </c>
      <c r="D57" s="98">
        <v>0</v>
      </c>
      <c r="E57" s="98">
        <v>0</v>
      </c>
      <c r="F57" s="98">
        <v>0</v>
      </c>
      <c r="G57" s="99">
        <v>0</v>
      </c>
      <c r="H57" s="98">
        <v>941</v>
      </c>
      <c r="I57" s="98">
        <v>3306</v>
      </c>
      <c r="J57" s="98">
        <v>400</v>
      </c>
      <c r="K57" s="98">
        <v>376.14</v>
      </c>
      <c r="L57" s="99">
        <f t="shared" si="0"/>
        <v>11.377495462794919</v>
      </c>
      <c r="M57" s="98">
        <v>5892</v>
      </c>
      <c r="N57" s="98">
        <v>11673</v>
      </c>
      <c r="O57" s="98">
        <v>26173</v>
      </c>
      <c r="P57" s="98">
        <v>12625.47</v>
      </c>
      <c r="Q57" s="99">
        <f t="shared" si="1"/>
        <v>108.15959907478798</v>
      </c>
      <c r="R57" s="110"/>
      <c r="T57" s="110"/>
    </row>
    <row r="58" spans="1:20" s="107" customFormat="1">
      <c r="A58" s="57">
        <v>51</v>
      </c>
      <c r="B58" s="97" t="s">
        <v>228</v>
      </c>
      <c r="C58" s="98">
        <v>0</v>
      </c>
      <c r="D58" s="98">
        <v>0</v>
      </c>
      <c r="E58" s="98">
        <v>0</v>
      </c>
      <c r="F58" s="98">
        <v>0</v>
      </c>
      <c r="G58" s="99">
        <v>0</v>
      </c>
      <c r="H58" s="98">
        <v>904</v>
      </c>
      <c r="I58" s="98">
        <v>3171</v>
      </c>
      <c r="J58" s="98">
        <v>213</v>
      </c>
      <c r="K58" s="98">
        <v>125</v>
      </c>
      <c r="L58" s="99">
        <f t="shared" si="0"/>
        <v>3.9419741406496374</v>
      </c>
      <c r="M58" s="98">
        <v>5644</v>
      </c>
      <c r="N58" s="98">
        <v>10419</v>
      </c>
      <c r="O58" s="98">
        <v>7547</v>
      </c>
      <c r="P58" s="98">
        <v>8005</v>
      </c>
      <c r="Q58" s="99">
        <f t="shared" si="1"/>
        <v>76.830789903061714</v>
      </c>
      <c r="R58" s="110"/>
      <c r="S58" s="61"/>
      <c r="T58" s="110"/>
    </row>
    <row r="59" spans="1:20" s="107" customFormat="1">
      <c r="A59" s="57">
        <v>52</v>
      </c>
      <c r="B59" s="97" t="s">
        <v>52</v>
      </c>
      <c r="C59" s="98">
        <v>0</v>
      </c>
      <c r="D59" s="98">
        <v>0</v>
      </c>
      <c r="E59" s="98">
        <v>0</v>
      </c>
      <c r="F59" s="98">
        <v>0</v>
      </c>
      <c r="G59" s="99">
        <v>0</v>
      </c>
      <c r="H59" s="98">
        <v>523</v>
      </c>
      <c r="I59" s="98">
        <v>2237</v>
      </c>
      <c r="J59" s="98"/>
      <c r="K59" s="98"/>
      <c r="L59" s="99">
        <f t="shared" si="0"/>
        <v>0</v>
      </c>
      <c r="M59" s="98">
        <v>2762</v>
      </c>
      <c r="N59" s="98">
        <v>8851</v>
      </c>
      <c r="O59" s="98"/>
      <c r="P59" s="98"/>
      <c r="Q59" s="99">
        <f t="shared" si="1"/>
        <v>0</v>
      </c>
      <c r="R59" s="110"/>
      <c r="S59" s="61"/>
      <c r="T59" s="110"/>
    </row>
    <row r="60" spans="1:20" s="107" customFormat="1">
      <c r="A60" s="383"/>
      <c r="B60" s="59" t="s">
        <v>293</v>
      </c>
      <c r="C60" s="105">
        <f>SUM(C57:C59)</f>
        <v>0</v>
      </c>
      <c r="D60" s="105">
        <f t="shared" ref="D60:P60" si="4">SUM(D57:D59)</f>
        <v>0</v>
      </c>
      <c r="E60" s="105">
        <f t="shared" si="4"/>
        <v>0</v>
      </c>
      <c r="F60" s="105">
        <f t="shared" si="4"/>
        <v>0</v>
      </c>
      <c r="G60" s="96">
        <v>0</v>
      </c>
      <c r="H60" s="105">
        <f t="shared" si="4"/>
        <v>2368</v>
      </c>
      <c r="I60" s="105">
        <f t="shared" si="4"/>
        <v>8714</v>
      </c>
      <c r="J60" s="105">
        <f t="shared" si="4"/>
        <v>613</v>
      </c>
      <c r="K60" s="105">
        <f t="shared" si="4"/>
        <v>501.14</v>
      </c>
      <c r="L60" s="96">
        <f t="shared" si="0"/>
        <v>5.7509754418177641</v>
      </c>
      <c r="M60" s="105">
        <f t="shared" si="4"/>
        <v>14298</v>
      </c>
      <c r="N60" s="105">
        <f t="shared" si="4"/>
        <v>30943</v>
      </c>
      <c r="O60" s="105">
        <f t="shared" si="4"/>
        <v>33720</v>
      </c>
      <c r="P60" s="105">
        <f t="shared" si="4"/>
        <v>20630.47</v>
      </c>
      <c r="Q60" s="96">
        <f t="shared" si="1"/>
        <v>66.672494586820932</v>
      </c>
      <c r="R60" s="110"/>
      <c r="T60" s="110"/>
    </row>
    <row r="61" spans="1:20">
      <c r="A61" s="57">
        <v>53</v>
      </c>
      <c r="B61" s="58" t="s">
        <v>288</v>
      </c>
      <c r="C61" s="98">
        <v>0</v>
      </c>
      <c r="D61" s="98">
        <v>0</v>
      </c>
      <c r="E61" s="98">
        <v>0</v>
      </c>
      <c r="F61" s="98">
        <v>0</v>
      </c>
      <c r="G61" s="99">
        <v>0</v>
      </c>
      <c r="H61" s="98">
        <v>1311</v>
      </c>
      <c r="I61" s="98">
        <v>7259</v>
      </c>
      <c r="J61" s="98"/>
      <c r="K61" s="98">
        <v>36</v>
      </c>
      <c r="L61" s="99">
        <f t="shared" si="0"/>
        <v>0.49593607934977268</v>
      </c>
      <c r="M61" s="98">
        <v>8490</v>
      </c>
      <c r="N61" s="98">
        <v>25152</v>
      </c>
      <c r="O61" s="98"/>
      <c r="P61" s="98">
        <v>5208</v>
      </c>
      <c r="Q61" s="99">
        <f t="shared" si="1"/>
        <v>20.706106870229007</v>
      </c>
      <c r="R61" s="110"/>
      <c r="T61" s="110"/>
    </row>
    <row r="62" spans="1:20" s="107" customFormat="1">
      <c r="A62" s="383"/>
      <c r="B62" s="59" t="s">
        <v>289</v>
      </c>
      <c r="C62" s="105">
        <f>C61</f>
        <v>0</v>
      </c>
      <c r="D62" s="105">
        <f t="shared" ref="D62:P62" si="5">D61</f>
        <v>0</v>
      </c>
      <c r="E62" s="105">
        <f t="shared" si="5"/>
        <v>0</v>
      </c>
      <c r="F62" s="105">
        <f t="shared" si="5"/>
        <v>0</v>
      </c>
      <c r="G62" s="96">
        <v>0</v>
      </c>
      <c r="H62" s="105">
        <f t="shared" si="5"/>
        <v>1311</v>
      </c>
      <c r="I62" s="105">
        <f t="shared" si="5"/>
        <v>7259</v>
      </c>
      <c r="J62" s="105">
        <f t="shared" si="5"/>
        <v>0</v>
      </c>
      <c r="K62" s="105">
        <f t="shared" si="5"/>
        <v>36</v>
      </c>
      <c r="L62" s="96">
        <f t="shared" si="0"/>
        <v>0.49593607934977268</v>
      </c>
      <c r="M62" s="105">
        <f t="shared" si="5"/>
        <v>8490</v>
      </c>
      <c r="N62" s="105">
        <f t="shared" si="5"/>
        <v>25152</v>
      </c>
      <c r="O62" s="105">
        <f t="shared" si="5"/>
        <v>0</v>
      </c>
      <c r="P62" s="105">
        <f t="shared" si="5"/>
        <v>5208</v>
      </c>
      <c r="Q62" s="96">
        <f t="shared" si="1"/>
        <v>20.706106870229007</v>
      </c>
      <c r="R62" s="110"/>
      <c r="T62" s="110"/>
    </row>
    <row r="63" spans="1:20" s="107" customFormat="1">
      <c r="A63" s="383"/>
      <c r="B63" s="59" t="s">
        <v>290</v>
      </c>
      <c r="C63" s="105">
        <f>C62+C60+C56+C33</f>
        <v>1311</v>
      </c>
      <c r="D63" s="105">
        <f t="shared" ref="D63:P63" si="6">D62+D60+D56+D33</f>
        <v>42468</v>
      </c>
      <c r="E63" s="105">
        <f t="shared" si="6"/>
        <v>78</v>
      </c>
      <c r="F63" s="105">
        <f t="shared" si="6"/>
        <v>21865</v>
      </c>
      <c r="G63" s="96">
        <f>F63*100/D63</f>
        <v>51.485824620891023</v>
      </c>
      <c r="H63" s="105">
        <f t="shared" si="6"/>
        <v>38937</v>
      </c>
      <c r="I63" s="105">
        <f t="shared" si="6"/>
        <v>143485</v>
      </c>
      <c r="J63" s="105">
        <f t="shared" si="6"/>
        <v>23357</v>
      </c>
      <c r="K63" s="105">
        <f t="shared" si="6"/>
        <v>37306.400000000001</v>
      </c>
      <c r="L63" s="96">
        <f t="shared" si="0"/>
        <v>26.000209081088617</v>
      </c>
      <c r="M63" s="105">
        <f t="shared" si="6"/>
        <v>162521</v>
      </c>
      <c r="N63" s="105">
        <f t="shared" si="6"/>
        <v>594810</v>
      </c>
      <c r="O63" s="105">
        <f t="shared" si="6"/>
        <v>188127</v>
      </c>
      <c r="P63" s="105">
        <f t="shared" si="6"/>
        <v>358384.68</v>
      </c>
      <c r="Q63" s="96">
        <f t="shared" si="1"/>
        <v>60.251959449235891</v>
      </c>
      <c r="R63" s="110"/>
      <c r="T63" s="110"/>
    </row>
    <row r="64" spans="1:20">
      <c r="A64" s="60"/>
    </row>
    <row r="69" spans="4:4">
      <c r="D69" s="110" t="s">
        <v>740</v>
      </c>
    </row>
  </sheetData>
  <mergeCells count="16">
    <mergeCell ref="Q3:Q5"/>
    <mergeCell ref="A1:Q1"/>
    <mergeCell ref="A3:A5"/>
    <mergeCell ref="B3:B5"/>
    <mergeCell ref="E4:F4"/>
    <mergeCell ref="J4:K4"/>
    <mergeCell ref="O4:P4"/>
    <mergeCell ref="G3:G5"/>
    <mergeCell ref="C3:F3"/>
    <mergeCell ref="C4:D4"/>
    <mergeCell ref="H3:K3"/>
    <mergeCell ref="N2:P2"/>
    <mergeCell ref="H4:I4"/>
    <mergeCell ref="M3:P3"/>
    <mergeCell ref="M4:N4"/>
    <mergeCell ref="L3:L5"/>
  </mergeCells>
  <conditionalFormatting sqref="B6">
    <cfRule type="duplicateValues" dxfId="125" priority="6"/>
  </conditionalFormatting>
  <conditionalFormatting sqref="B22">
    <cfRule type="duplicateValues" dxfId="124" priority="7"/>
  </conditionalFormatting>
  <conditionalFormatting sqref="B33:B34 B26:B30">
    <cfRule type="duplicateValues" dxfId="123" priority="8"/>
  </conditionalFormatting>
  <conditionalFormatting sqref="B52">
    <cfRule type="duplicateValues" dxfId="122" priority="9"/>
  </conditionalFormatting>
  <conditionalFormatting sqref="B56">
    <cfRule type="duplicateValues" dxfId="121" priority="10"/>
  </conditionalFormatting>
  <conditionalFormatting sqref="B58">
    <cfRule type="duplicateValues" dxfId="120" priority="11"/>
  </conditionalFormatting>
  <conditionalFormatting sqref="G1:G1048576">
    <cfRule type="cellIs" dxfId="119" priority="5" stopIfTrue="1" operator="greaterThan">
      <formula>100</formula>
    </cfRule>
  </conditionalFormatting>
  <conditionalFormatting sqref="L1:L1048576">
    <cfRule type="cellIs" dxfId="118" priority="4" stopIfTrue="1" operator="greaterThan">
      <formula>100</formula>
    </cfRule>
  </conditionalFormatting>
  <conditionalFormatting sqref="Q1:Q1048576">
    <cfRule type="cellIs" dxfId="117" priority="3" stopIfTrue="1" operator="greaterThan">
      <formula>100</formula>
    </cfRule>
  </conditionalFormatting>
  <conditionalFormatting sqref="T1:T1048576">
    <cfRule type="cellIs" dxfId="116" priority="2" operator="lessThan">
      <formula>0</formula>
    </cfRule>
  </conditionalFormatting>
  <pageMargins left="0.75" right="0.2" top="0.75" bottom="0.75" header="0.3" footer="0.3"/>
  <pageSetup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68"/>
  <sheetViews>
    <sheetView zoomScaleNormal="100" workbookViewId="0">
      <pane xSplit="2" ySplit="5" topLeftCell="C58" activePane="bottomRight" state="frozen"/>
      <selection pane="topRight" activeCell="C1" sqref="C1"/>
      <selection pane="bottomLeft" activeCell="A6" sqref="A6"/>
      <selection pane="bottomRight" activeCell="J51" sqref="J51"/>
    </sheetView>
  </sheetViews>
  <sheetFormatPr defaultColWidth="4.42578125" defaultRowHeight="13.5"/>
  <cols>
    <col min="1" max="1" width="4.42578125" style="61"/>
    <col min="2" max="2" width="21.85546875" style="61" bestFit="1" customWidth="1"/>
    <col min="3" max="4" width="10.140625" style="110" bestFit="1" customWidth="1"/>
    <col min="5" max="5" width="8" style="110" bestFit="1" customWidth="1"/>
    <col min="6" max="6" width="8.140625" style="110" customWidth="1"/>
    <col min="7" max="7" width="8.140625" style="108" customWidth="1"/>
    <col min="8" max="8" width="8" style="110" bestFit="1" customWidth="1"/>
    <col min="9" max="11" width="8.140625" style="110" customWidth="1"/>
    <col min="12" max="12" width="8.140625" style="108" customWidth="1"/>
    <col min="13" max="13" width="10.140625" style="110" bestFit="1" customWidth="1"/>
    <col min="14" max="14" width="11.140625" style="110" customWidth="1"/>
    <col min="15" max="15" width="11.28515625" style="110" bestFit="1" customWidth="1"/>
    <col min="16" max="16" width="12.5703125" style="110" bestFit="1" customWidth="1"/>
    <col min="17" max="17" width="11.5703125" style="111" bestFit="1" customWidth="1"/>
    <col min="18" max="18" width="11.28515625" style="111" bestFit="1" customWidth="1"/>
    <col min="19" max="19" width="8" style="108" customWidth="1"/>
    <col min="20" max="20" width="8" style="110" bestFit="1" customWidth="1"/>
    <col min="21" max="21" width="12" style="110" bestFit="1" customWidth="1"/>
    <col min="22" max="22" width="4.42578125" style="61"/>
    <col min="23" max="23" width="7" style="61" bestFit="1" customWidth="1"/>
    <col min="24" max="16384" width="4.42578125" style="61"/>
  </cols>
  <sheetData>
    <row r="1" spans="1:19" ht="18.75">
      <c r="A1" s="593" t="s">
        <v>746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  <c r="Q1" s="593"/>
      <c r="R1" s="593"/>
    </row>
    <row r="2" spans="1:19">
      <c r="B2" s="107" t="s">
        <v>134</v>
      </c>
      <c r="J2" s="110" t="s">
        <v>142</v>
      </c>
      <c r="N2" s="111" t="s">
        <v>166</v>
      </c>
      <c r="O2" s="111"/>
      <c r="P2" s="111"/>
    </row>
    <row r="3" spans="1:19" ht="35.1" customHeight="1">
      <c r="A3" s="594" t="s">
        <v>120</v>
      </c>
      <c r="B3" s="594" t="s">
        <v>100</v>
      </c>
      <c r="C3" s="595" t="s">
        <v>35</v>
      </c>
      <c r="D3" s="595"/>
      <c r="E3" s="595"/>
      <c r="F3" s="595"/>
      <c r="G3" s="592" t="s">
        <v>158</v>
      </c>
      <c r="H3" s="595" t="s">
        <v>36</v>
      </c>
      <c r="I3" s="595"/>
      <c r="J3" s="595"/>
      <c r="K3" s="595"/>
      <c r="L3" s="592" t="s">
        <v>158</v>
      </c>
      <c r="M3" s="595" t="s">
        <v>53</v>
      </c>
      <c r="N3" s="595"/>
      <c r="O3" s="595" t="s">
        <v>54</v>
      </c>
      <c r="P3" s="595"/>
      <c r="Q3" s="595"/>
      <c r="R3" s="595"/>
      <c r="S3" s="592" t="s">
        <v>158</v>
      </c>
    </row>
    <row r="4" spans="1:19" ht="35.1" customHeight="1">
      <c r="A4" s="594"/>
      <c r="B4" s="594"/>
      <c r="C4" s="595" t="s">
        <v>21</v>
      </c>
      <c r="D4" s="595"/>
      <c r="E4" s="595" t="s">
        <v>160</v>
      </c>
      <c r="F4" s="595"/>
      <c r="G4" s="592"/>
      <c r="H4" s="595" t="s">
        <v>21</v>
      </c>
      <c r="I4" s="595"/>
      <c r="J4" s="595" t="s">
        <v>160</v>
      </c>
      <c r="K4" s="595"/>
      <c r="L4" s="592"/>
      <c r="M4" s="595" t="s">
        <v>160</v>
      </c>
      <c r="N4" s="595"/>
      <c r="O4" s="595" t="s">
        <v>21</v>
      </c>
      <c r="P4" s="595"/>
      <c r="Q4" s="595" t="s">
        <v>160</v>
      </c>
      <c r="R4" s="595"/>
      <c r="S4" s="592"/>
    </row>
    <row r="5" spans="1:19" ht="35.1" customHeight="1">
      <c r="A5" s="594"/>
      <c r="B5" s="594"/>
      <c r="C5" s="325" t="s">
        <v>124</v>
      </c>
      <c r="D5" s="325" t="s">
        <v>99</v>
      </c>
      <c r="E5" s="325" t="s">
        <v>124</v>
      </c>
      <c r="F5" s="325" t="s">
        <v>99</v>
      </c>
      <c r="G5" s="592"/>
      <c r="H5" s="325" t="s">
        <v>124</v>
      </c>
      <c r="I5" s="325" t="s">
        <v>99</v>
      </c>
      <c r="J5" s="325" t="s">
        <v>124</v>
      </c>
      <c r="K5" s="325" t="s">
        <v>99</v>
      </c>
      <c r="L5" s="592"/>
      <c r="M5" s="325" t="s">
        <v>124</v>
      </c>
      <c r="N5" s="325" t="s">
        <v>99</v>
      </c>
      <c r="O5" s="325" t="s">
        <v>124</v>
      </c>
      <c r="P5" s="325" t="s">
        <v>99</v>
      </c>
      <c r="Q5" s="325" t="s">
        <v>124</v>
      </c>
      <c r="R5" s="325" t="s">
        <v>99</v>
      </c>
      <c r="S5" s="592"/>
    </row>
    <row r="6" spans="1:19">
      <c r="A6" s="57">
        <v>1</v>
      </c>
      <c r="B6" s="58" t="s">
        <v>55</v>
      </c>
      <c r="C6" s="98">
        <v>7516</v>
      </c>
      <c r="D6" s="98">
        <v>10181</v>
      </c>
      <c r="E6" s="98">
        <v>0</v>
      </c>
      <c r="F6" s="98">
        <v>0</v>
      </c>
      <c r="G6" s="99">
        <f>F6*100/D6</f>
        <v>0</v>
      </c>
      <c r="H6" s="98">
        <v>266</v>
      </c>
      <c r="I6" s="98">
        <v>1018</v>
      </c>
      <c r="J6" s="98">
        <v>0</v>
      </c>
      <c r="K6" s="98">
        <v>0</v>
      </c>
      <c r="L6" s="99">
        <f>K6*100/I6</f>
        <v>0</v>
      </c>
      <c r="M6" s="98">
        <v>895</v>
      </c>
      <c r="N6" s="98">
        <v>8968</v>
      </c>
      <c r="O6" s="98">
        <f>H6+C6+'ACP_PS_11(i)'!M6+'ACP_PS_11(i)'!H6+'ACP_PS_11(i)'!C6+ACP_MSME_10!C6+'ACP_Agri_9(ii)'!M6</f>
        <v>88570</v>
      </c>
      <c r="P6" s="98">
        <f>I6+D6+'ACP_PS_11(i)'!N6+'ACP_PS_11(i)'!I6+'ACP_PS_11(i)'!D6+ACP_MSME_10!D6+'ACP_Agri_9(ii)'!N6</f>
        <v>226643.06</v>
      </c>
      <c r="Q6" s="98">
        <f>M6+J6+E6+'ACP_PS_11(i)'!O6+'ACP_PS_11(i)'!J6+'ACP_PS_11(i)'!E6+ACP_MSME_10!O6+'ACP_Agri_9(ii)'!O6</f>
        <v>65617</v>
      </c>
      <c r="R6" s="98">
        <f>N6+K6+F6+'ACP_PS_11(i)'!P6+'ACP_PS_11(i)'!K6+'ACP_PS_11(i)'!F6+ACP_MSME_10!P6+'ACP_Agri_9(ii)'!P6</f>
        <v>206590</v>
      </c>
      <c r="S6" s="99">
        <f>R6*100/P6</f>
        <v>91.152140286139797</v>
      </c>
    </row>
    <row r="7" spans="1:19">
      <c r="A7" s="57">
        <v>2</v>
      </c>
      <c r="B7" s="58" t="s">
        <v>56</v>
      </c>
      <c r="C7" s="98">
        <v>572</v>
      </c>
      <c r="D7" s="98">
        <v>915</v>
      </c>
      <c r="E7" s="98">
        <v>0</v>
      </c>
      <c r="F7" s="98">
        <v>0</v>
      </c>
      <c r="G7" s="99">
        <f>F7*100/D7</f>
        <v>0</v>
      </c>
      <c r="H7" s="98">
        <v>128</v>
      </c>
      <c r="I7" s="98">
        <v>129</v>
      </c>
      <c r="J7" s="98">
        <v>0</v>
      </c>
      <c r="K7" s="98">
        <v>0</v>
      </c>
      <c r="L7" s="99">
        <f t="shared" ref="L7:L63" si="0">K7*100/I7</f>
        <v>0</v>
      </c>
      <c r="M7" s="98">
        <v>0</v>
      </c>
      <c r="N7" s="98">
        <v>0</v>
      </c>
      <c r="O7" s="98">
        <f>H7+C7+'ACP_PS_11(i)'!M7+'ACP_PS_11(i)'!H7+'ACP_PS_11(i)'!C7+ACP_MSME_10!C7+'ACP_Agri_9(ii)'!M7</f>
        <v>3891</v>
      </c>
      <c r="P7" s="98">
        <f>I7+D7+'ACP_PS_11(i)'!N7+'ACP_PS_11(i)'!I7+'ACP_PS_11(i)'!D7+ACP_MSME_10!D7+'ACP_Agri_9(ii)'!N7</f>
        <v>13014.33</v>
      </c>
      <c r="Q7" s="98">
        <f>M7+J7+E7+'ACP_PS_11(i)'!O7+'ACP_PS_11(i)'!J7+'ACP_PS_11(i)'!E7+ACP_MSME_10!O7+'ACP_Agri_9(ii)'!O7</f>
        <v>3751</v>
      </c>
      <c r="R7" s="98">
        <f>N7+K7+F7+'ACP_PS_11(i)'!P7+'ACP_PS_11(i)'!K7+'ACP_PS_11(i)'!F7+ACP_MSME_10!P7+'ACP_Agri_9(ii)'!P7</f>
        <v>25186.230000000003</v>
      </c>
      <c r="S7" s="99">
        <f t="shared" ref="S7:S63" si="1">R7*100/P7</f>
        <v>193.52690457365077</v>
      </c>
    </row>
    <row r="8" spans="1:19">
      <c r="A8" s="57">
        <v>3</v>
      </c>
      <c r="B8" s="58" t="s">
        <v>57</v>
      </c>
      <c r="C8" s="98">
        <v>6078</v>
      </c>
      <c r="D8" s="98">
        <v>13058</v>
      </c>
      <c r="E8" s="98">
        <v>1</v>
      </c>
      <c r="F8" s="98">
        <v>1</v>
      </c>
      <c r="G8" s="99">
        <f>F8*100/D8</f>
        <v>7.6581406034614795E-3</v>
      </c>
      <c r="H8" s="98">
        <v>156</v>
      </c>
      <c r="I8" s="98">
        <v>872</v>
      </c>
      <c r="J8" s="98">
        <v>1</v>
      </c>
      <c r="K8" s="98">
        <v>1</v>
      </c>
      <c r="L8" s="99">
        <f t="shared" si="0"/>
        <v>0.11467889908256881</v>
      </c>
      <c r="M8" s="98">
        <v>712</v>
      </c>
      <c r="N8" s="98">
        <v>5687</v>
      </c>
      <c r="O8" s="98">
        <f>H8+C8+'ACP_PS_11(i)'!M8+'ACP_PS_11(i)'!H8+'ACP_PS_11(i)'!C8+ACP_MSME_10!C8+'ACP_Agri_9(ii)'!M8</f>
        <v>63054</v>
      </c>
      <c r="P8" s="98">
        <f>I8+D8+'ACP_PS_11(i)'!N8+'ACP_PS_11(i)'!I8+'ACP_PS_11(i)'!D8+ACP_MSME_10!D8+'ACP_Agri_9(ii)'!N8</f>
        <v>208823.53999999998</v>
      </c>
      <c r="Q8" s="98">
        <f>M8+J8+E8+'ACP_PS_11(i)'!O8+'ACP_PS_11(i)'!J8+'ACP_PS_11(i)'!E8+ACP_MSME_10!O8+'ACP_Agri_9(ii)'!O8</f>
        <v>48766</v>
      </c>
      <c r="R8" s="98">
        <f>N8+K8+F8+'ACP_PS_11(i)'!P8+'ACP_PS_11(i)'!K8+'ACP_PS_11(i)'!F8+ACP_MSME_10!P8+'ACP_Agri_9(ii)'!P8</f>
        <v>198827</v>
      </c>
      <c r="S8" s="99">
        <f t="shared" si="1"/>
        <v>95.212924749767211</v>
      </c>
    </row>
    <row r="9" spans="1:19">
      <c r="A9" s="57">
        <v>4</v>
      </c>
      <c r="B9" s="58" t="s">
        <v>58</v>
      </c>
      <c r="C9" s="98">
        <v>7793</v>
      </c>
      <c r="D9" s="98">
        <v>15647</v>
      </c>
      <c r="E9" s="98">
        <v>0</v>
      </c>
      <c r="F9" s="98">
        <v>0</v>
      </c>
      <c r="G9" s="99">
        <f>F9*100/D9</f>
        <v>0</v>
      </c>
      <c r="H9" s="98">
        <v>284</v>
      </c>
      <c r="I9" s="98">
        <v>1342</v>
      </c>
      <c r="J9" s="98">
        <v>1</v>
      </c>
      <c r="K9" s="98">
        <v>5</v>
      </c>
      <c r="L9" s="99">
        <f t="shared" si="0"/>
        <v>0.37257824143070045</v>
      </c>
      <c r="M9" s="98">
        <v>865</v>
      </c>
      <c r="N9" s="98">
        <v>440</v>
      </c>
      <c r="O9" s="98">
        <f>H9+C9+'ACP_PS_11(i)'!M9+'ACP_PS_11(i)'!H9+'ACP_PS_11(i)'!C9+ACP_MSME_10!C9+'ACP_Agri_9(ii)'!M9</f>
        <v>215190</v>
      </c>
      <c r="P9" s="98">
        <f>I9+D9+'ACP_PS_11(i)'!N9+'ACP_PS_11(i)'!I9+'ACP_PS_11(i)'!D9+ACP_MSME_10!D9+'ACP_Agri_9(ii)'!N9</f>
        <v>890279.37</v>
      </c>
      <c r="Q9" s="98">
        <f>M9+J9+E9+'ACP_PS_11(i)'!O9+'ACP_PS_11(i)'!J9+'ACP_PS_11(i)'!E9+ACP_MSME_10!O9+'ACP_Agri_9(ii)'!O9</f>
        <v>1273136</v>
      </c>
      <c r="R9" s="98">
        <f>N9+K9+F9+'ACP_PS_11(i)'!P9+'ACP_PS_11(i)'!K9+'ACP_PS_11(i)'!F9+ACP_MSME_10!P9+'ACP_Agri_9(ii)'!P9</f>
        <v>766129</v>
      </c>
      <c r="S9" s="99">
        <f t="shared" si="1"/>
        <v>86.054897576701123</v>
      </c>
    </row>
    <row r="10" spans="1:19">
      <c r="A10" s="57">
        <v>5</v>
      </c>
      <c r="B10" s="58" t="s">
        <v>59</v>
      </c>
      <c r="C10" s="98">
        <v>7832</v>
      </c>
      <c r="D10" s="98">
        <v>12758</v>
      </c>
      <c r="E10" s="98">
        <v>11</v>
      </c>
      <c r="F10" s="98">
        <v>241</v>
      </c>
      <c r="G10" s="99">
        <f>F10*100/D10</f>
        <v>1.8890108167424362</v>
      </c>
      <c r="H10" s="98">
        <v>40</v>
      </c>
      <c r="I10" s="98">
        <v>469</v>
      </c>
      <c r="J10" s="98">
        <v>2</v>
      </c>
      <c r="K10" s="98">
        <v>375</v>
      </c>
      <c r="L10" s="99">
        <f t="shared" si="0"/>
        <v>79.957356076759055</v>
      </c>
      <c r="M10" s="98">
        <v>3626</v>
      </c>
      <c r="N10" s="98">
        <v>287.33999999999997</v>
      </c>
      <c r="O10" s="98">
        <f>H10+C10+'ACP_PS_11(i)'!M10+'ACP_PS_11(i)'!H10+'ACP_PS_11(i)'!C10+ACP_MSME_10!C10+'ACP_Agri_9(ii)'!M10</f>
        <v>66071</v>
      </c>
      <c r="P10" s="98">
        <f>I10+D10+'ACP_PS_11(i)'!N10+'ACP_PS_11(i)'!I10+'ACP_PS_11(i)'!D10+ACP_MSME_10!D10+'ACP_Agri_9(ii)'!N10</f>
        <v>200091.74</v>
      </c>
      <c r="Q10" s="98">
        <f>M10+J10+E10+'ACP_PS_11(i)'!O10+'ACP_PS_11(i)'!J10+'ACP_PS_11(i)'!E10+ACP_MSME_10!O10+'ACP_Agri_9(ii)'!O10</f>
        <v>50855</v>
      </c>
      <c r="R10" s="98">
        <f>N10+K10+F10+'ACP_PS_11(i)'!P10+'ACP_PS_11(i)'!K10+'ACP_PS_11(i)'!F10+ACP_MSME_10!P10+'ACP_Agri_9(ii)'!P10</f>
        <v>109593.38999999998</v>
      </c>
      <c r="S10" s="99">
        <f t="shared" si="1"/>
        <v>54.771571280253738</v>
      </c>
    </row>
    <row r="11" spans="1:19">
      <c r="A11" s="57">
        <v>6</v>
      </c>
      <c r="B11" s="175" t="s">
        <v>241</v>
      </c>
      <c r="C11" s="98">
        <v>0</v>
      </c>
      <c r="D11" s="98">
        <v>0</v>
      </c>
      <c r="E11" s="98">
        <v>0</v>
      </c>
      <c r="F11" s="98">
        <v>0</v>
      </c>
      <c r="G11" s="99">
        <v>0</v>
      </c>
      <c r="H11" s="98">
        <v>0</v>
      </c>
      <c r="I11" s="98">
        <v>0</v>
      </c>
      <c r="J11" s="98">
        <v>0</v>
      </c>
      <c r="K11" s="98">
        <v>0</v>
      </c>
      <c r="L11" s="99">
        <v>0</v>
      </c>
      <c r="M11" s="98">
        <v>0</v>
      </c>
      <c r="N11" s="98">
        <v>0</v>
      </c>
      <c r="O11" s="98">
        <f>H11+C11+'ACP_PS_11(i)'!M11+'ACP_PS_11(i)'!H11+'ACP_PS_11(i)'!C11+ACP_MSME_10!C11+'ACP_Agri_9(ii)'!M11</f>
        <v>441</v>
      </c>
      <c r="P11" s="98">
        <f>I11+D11+'ACP_PS_11(i)'!N11+'ACP_PS_11(i)'!I11+'ACP_PS_11(i)'!D11+ACP_MSME_10!D11+'ACP_Agri_9(ii)'!N11</f>
        <v>1335</v>
      </c>
      <c r="Q11" s="98">
        <f>M11+J11+E11+'ACP_PS_11(i)'!O11+'ACP_PS_11(i)'!J11+'ACP_PS_11(i)'!E11+ACP_MSME_10!O11+'ACP_Agri_9(ii)'!O11</f>
        <v>0</v>
      </c>
      <c r="R11" s="98">
        <f>N11+K11+F11+'ACP_PS_11(i)'!P11+'ACP_PS_11(i)'!K11+'ACP_PS_11(i)'!F11+ACP_MSME_10!P11+'ACP_Agri_9(ii)'!P11</f>
        <v>0</v>
      </c>
      <c r="S11" s="99">
        <f t="shared" si="1"/>
        <v>0</v>
      </c>
    </row>
    <row r="12" spans="1:19">
      <c r="A12" s="57">
        <v>7</v>
      </c>
      <c r="B12" s="58" t="s">
        <v>60</v>
      </c>
      <c r="C12" s="98">
        <v>3016</v>
      </c>
      <c r="D12" s="98">
        <v>5862</v>
      </c>
      <c r="E12" s="98">
        <v>0</v>
      </c>
      <c r="F12" s="98">
        <v>0</v>
      </c>
      <c r="G12" s="99">
        <f t="shared" ref="G12:G35" si="2">F12*100/D12</f>
        <v>0</v>
      </c>
      <c r="H12" s="98">
        <v>27</v>
      </c>
      <c r="I12" s="98">
        <v>523</v>
      </c>
      <c r="J12" s="98">
        <v>1</v>
      </c>
      <c r="K12" s="98">
        <v>0.06</v>
      </c>
      <c r="L12" s="99">
        <f t="shared" si="0"/>
        <v>1.1472275334608031E-2</v>
      </c>
      <c r="M12" s="98">
        <v>36</v>
      </c>
      <c r="N12" s="98">
        <v>39.65</v>
      </c>
      <c r="O12" s="98">
        <f>H12+C12+'ACP_PS_11(i)'!M12+'ACP_PS_11(i)'!H12+'ACP_PS_11(i)'!C12+ACP_MSME_10!C12+'ACP_Agri_9(ii)'!M12</f>
        <v>34652</v>
      </c>
      <c r="P12" s="98">
        <f>I12+D12+'ACP_PS_11(i)'!N12+'ACP_PS_11(i)'!I12+'ACP_PS_11(i)'!D12+ACP_MSME_10!D12+'ACP_Agri_9(ii)'!N12</f>
        <v>103548.68</v>
      </c>
      <c r="Q12" s="98">
        <f>M12+J12+E12+'ACP_PS_11(i)'!O12+'ACP_PS_11(i)'!J12+'ACP_PS_11(i)'!E12+ACP_MSME_10!O12+'ACP_Agri_9(ii)'!O12</f>
        <v>17291</v>
      </c>
      <c r="R12" s="98">
        <f>N12+K12+F12+'ACP_PS_11(i)'!P12+'ACP_PS_11(i)'!K12+'ACP_PS_11(i)'!F12+ACP_MSME_10!P12+'ACP_Agri_9(ii)'!P12</f>
        <v>96451.209999999992</v>
      </c>
      <c r="S12" s="99">
        <f t="shared" si="1"/>
        <v>93.145764871169774</v>
      </c>
    </row>
    <row r="13" spans="1:19">
      <c r="A13" s="57">
        <v>8</v>
      </c>
      <c r="B13" s="58" t="s">
        <v>61</v>
      </c>
      <c r="C13" s="98">
        <v>21930</v>
      </c>
      <c r="D13" s="98">
        <v>39983</v>
      </c>
      <c r="E13" s="98">
        <v>21</v>
      </c>
      <c r="F13" s="98">
        <v>112</v>
      </c>
      <c r="G13" s="99">
        <f t="shared" si="2"/>
        <v>0.28011905059650349</v>
      </c>
      <c r="H13" s="98">
        <f>314+325</f>
        <v>639</v>
      </c>
      <c r="I13" s="98">
        <f>1205+1581</f>
        <v>2786</v>
      </c>
      <c r="J13" s="98">
        <v>2</v>
      </c>
      <c r="K13" s="98">
        <v>28</v>
      </c>
      <c r="L13" s="99">
        <f t="shared" si="0"/>
        <v>1.0050251256281406</v>
      </c>
      <c r="M13" s="98">
        <v>103</v>
      </c>
      <c r="N13" s="98">
        <v>1721</v>
      </c>
      <c r="O13" s="98">
        <f>H13+C13+'ACP_PS_11(i)'!M13+'ACP_PS_11(i)'!H13+'ACP_PS_11(i)'!C13+ACP_MSME_10!C13+'ACP_Agri_9(ii)'!M13</f>
        <v>263748</v>
      </c>
      <c r="P13" s="98">
        <f>I13+D13+'ACP_PS_11(i)'!N13+'ACP_PS_11(i)'!I13+'ACP_PS_11(i)'!D13+ACP_MSME_10!D13+'ACP_Agri_9(ii)'!N13</f>
        <v>786162.85</v>
      </c>
      <c r="Q13" s="98">
        <f>M13+J13+E13+'ACP_PS_11(i)'!O13+'ACP_PS_11(i)'!J13+'ACP_PS_11(i)'!E13+ACP_MSME_10!O13+'ACP_Agri_9(ii)'!O13</f>
        <v>196088</v>
      </c>
      <c r="R13" s="98">
        <f>N13+K13+F13+'ACP_PS_11(i)'!P13+'ACP_PS_11(i)'!K13+'ACP_PS_11(i)'!F13+ACP_MSME_10!P13+'ACP_Agri_9(ii)'!P13</f>
        <v>569837</v>
      </c>
      <c r="S13" s="99">
        <f t="shared" si="1"/>
        <v>72.483328358749077</v>
      </c>
    </row>
    <row r="14" spans="1:19">
      <c r="A14" s="57">
        <v>9</v>
      </c>
      <c r="B14" s="58" t="s">
        <v>48</v>
      </c>
      <c r="C14" s="98">
        <v>1564</v>
      </c>
      <c r="D14" s="98">
        <v>2540</v>
      </c>
      <c r="E14" s="98">
        <v>0</v>
      </c>
      <c r="F14" s="98">
        <v>0</v>
      </c>
      <c r="G14" s="99">
        <f t="shared" si="2"/>
        <v>0</v>
      </c>
      <c r="H14" s="98">
        <v>114</v>
      </c>
      <c r="I14" s="98">
        <v>218</v>
      </c>
      <c r="J14" s="98">
        <v>0</v>
      </c>
      <c r="K14" s="98">
        <v>0</v>
      </c>
      <c r="L14" s="99">
        <f t="shared" si="0"/>
        <v>0</v>
      </c>
      <c r="M14" s="98">
        <v>0</v>
      </c>
      <c r="N14" s="98">
        <v>0</v>
      </c>
      <c r="O14" s="98">
        <f>H14+C14+'ACP_PS_11(i)'!M14+'ACP_PS_11(i)'!H14+'ACP_PS_11(i)'!C14+ACP_MSME_10!C14+'ACP_Agri_9(ii)'!M14</f>
        <v>9905</v>
      </c>
      <c r="P14" s="98">
        <f>I14+D14+'ACP_PS_11(i)'!N14+'ACP_PS_11(i)'!I14+'ACP_PS_11(i)'!D14+ACP_MSME_10!D14+'ACP_Agri_9(ii)'!N14</f>
        <v>32056.1</v>
      </c>
      <c r="Q14" s="98">
        <f>M14+J14+E14+'ACP_PS_11(i)'!O14+'ACP_PS_11(i)'!J14+'ACP_PS_11(i)'!E14+ACP_MSME_10!O14+'ACP_Agri_9(ii)'!O14</f>
        <v>7000</v>
      </c>
      <c r="R14" s="98">
        <f>N14+K14+F14+'ACP_PS_11(i)'!P14+'ACP_PS_11(i)'!K14+'ACP_PS_11(i)'!F14+ACP_MSME_10!P14+'ACP_Agri_9(ii)'!P14</f>
        <v>18943.809999999998</v>
      </c>
      <c r="S14" s="99">
        <f t="shared" si="1"/>
        <v>59.095803918754925</v>
      </c>
    </row>
    <row r="15" spans="1:19">
      <c r="A15" s="57">
        <v>10</v>
      </c>
      <c r="B15" s="58" t="s">
        <v>49</v>
      </c>
      <c r="C15" s="98">
        <v>1890</v>
      </c>
      <c r="D15" s="98">
        <v>4009</v>
      </c>
      <c r="E15" s="98">
        <v>0</v>
      </c>
      <c r="F15" s="98">
        <v>0</v>
      </c>
      <c r="G15" s="99">
        <f t="shared" si="2"/>
        <v>0</v>
      </c>
      <c r="H15" s="98">
        <v>115</v>
      </c>
      <c r="I15" s="98">
        <v>255</v>
      </c>
      <c r="J15" s="98">
        <v>0</v>
      </c>
      <c r="K15" s="98">
        <v>0</v>
      </c>
      <c r="L15" s="99">
        <f t="shared" si="0"/>
        <v>0</v>
      </c>
      <c r="M15" s="98">
        <v>13</v>
      </c>
      <c r="N15" s="98">
        <v>4</v>
      </c>
      <c r="O15" s="98">
        <f>H15+C15+'ACP_PS_11(i)'!M15+'ACP_PS_11(i)'!H15+'ACP_PS_11(i)'!C15+ACP_MSME_10!C15+'ACP_Agri_9(ii)'!M15</f>
        <v>20519</v>
      </c>
      <c r="P15" s="98">
        <f>I15+D15+'ACP_PS_11(i)'!N15+'ACP_PS_11(i)'!I15+'ACP_PS_11(i)'!D15+ACP_MSME_10!D15+'ACP_Agri_9(ii)'!N15</f>
        <v>72026.34</v>
      </c>
      <c r="Q15" s="98">
        <f>M15+J15+E15+'ACP_PS_11(i)'!O15+'ACP_PS_11(i)'!J15+'ACP_PS_11(i)'!E15+ACP_MSME_10!O15+'ACP_Agri_9(ii)'!O15</f>
        <v>12597</v>
      </c>
      <c r="R15" s="98">
        <f>N15+K15+F15+'ACP_PS_11(i)'!P15+'ACP_PS_11(i)'!K15+'ACP_PS_11(i)'!F15+ACP_MSME_10!P15+'ACP_Agri_9(ii)'!P15</f>
        <v>31256</v>
      </c>
      <c r="S15" s="99">
        <f t="shared" si="1"/>
        <v>43.395235687388812</v>
      </c>
    </row>
    <row r="16" spans="1:19">
      <c r="A16" s="57">
        <v>11</v>
      </c>
      <c r="B16" s="58" t="s">
        <v>81</v>
      </c>
      <c r="C16" s="98">
        <v>1000</v>
      </c>
      <c r="D16" s="98">
        <v>1847</v>
      </c>
      <c r="E16" s="98">
        <v>8</v>
      </c>
      <c r="F16" s="98">
        <v>21</v>
      </c>
      <c r="G16" s="99">
        <f t="shared" si="2"/>
        <v>1.1369788846778559</v>
      </c>
      <c r="H16" s="98">
        <v>85</v>
      </c>
      <c r="I16" s="98">
        <v>164</v>
      </c>
      <c r="J16" s="98">
        <v>0</v>
      </c>
      <c r="K16" s="98">
        <v>0</v>
      </c>
      <c r="L16" s="99">
        <f t="shared" si="0"/>
        <v>0</v>
      </c>
      <c r="M16" s="98">
        <v>1584</v>
      </c>
      <c r="N16" s="98">
        <v>201134</v>
      </c>
      <c r="O16" s="98">
        <f>H16+C16+'ACP_PS_11(i)'!M16+'ACP_PS_11(i)'!H16+'ACP_PS_11(i)'!C16+ACP_MSME_10!C16+'ACP_Agri_9(ii)'!M16</f>
        <v>15704</v>
      </c>
      <c r="P16" s="98">
        <f>I16+D16+'ACP_PS_11(i)'!N16+'ACP_PS_11(i)'!I16+'ACP_PS_11(i)'!D16+ACP_MSME_10!D16+'ACP_Agri_9(ii)'!N16</f>
        <v>50785.94</v>
      </c>
      <c r="Q16" s="98">
        <f>M16+J16+E16+'ACP_PS_11(i)'!O16+'ACP_PS_11(i)'!J16+'ACP_PS_11(i)'!E16+ACP_MSME_10!O16+'ACP_Agri_9(ii)'!O16</f>
        <v>40423</v>
      </c>
      <c r="R16" s="98">
        <f>N16+K16+F16+'ACP_PS_11(i)'!P16+'ACP_PS_11(i)'!K16+'ACP_PS_11(i)'!F16+ACP_MSME_10!P16+'ACP_Agri_9(ii)'!P16</f>
        <v>357765</v>
      </c>
      <c r="S16" s="99">
        <f t="shared" si="1"/>
        <v>704.45678469277118</v>
      </c>
    </row>
    <row r="17" spans="1:21">
      <c r="A17" s="57">
        <v>12</v>
      </c>
      <c r="B17" s="58" t="s">
        <v>62</v>
      </c>
      <c r="C17" s="98">
        <v>654</v>
      </c>
      <c r="D17" s="98">
        <v>1068</v>
      </c>
      <c r="E17" s="98">
        <v>0</v>
      </c>
      <c r="F17" s="98">
        <v>0</v>
      </c>
      <c r="G17" s="99">
        <f t="shared" si="2"/>
        <v>0</v>
      </c>
      <c r="H17" s="98">
        <v>86</v>
      </c>
      <c r="I17" s="98">
        <v>117</v>
      </c>
      <c r="J17" s="98">
        <v>0</v>
      </c>
      <c r="K17" s="98">
        <v>0</v>
      </c>
      <c r="L17" s="99">
        <f t="shared" si="0"/>
        <v>0</v>
      </c>
      <c r="M17" s="98">
        <v>241</v>
      </c>
      <c r="N17" s="98">
        <v>2962</v>
      </c>
      <c r="O17" s="98">
        <f>H17+C17+'ACP_PS_11(i)'!M17+'ACP_PS_11(i)'!H17+'ACP_PS_11(i)'!C17+ACP_MSME_10!C17+'ACP_Agri_9(ii)'!M17</f>
        <v>6884</v>
      </c>
      <c r="P17" s="98">
        <f>I17+D17+'ACP_PS_11(i)'!N17+'ACP_PS_11(i)'!I17+'ACP_PS_11(i)'!D17+ACP_MSME_10!D17+'ACP_Agri_9(ii)'!N17</f>
        <v>23895.65</v>
      </c>
      <c r="Q17" s="98">
        <f>M17+J17+E17+'ACP_PS_11(i)'!O17+'ACP_PS_11(i)'!J17+'ACP_PS_11(i)'!E17+ACP_MSME_10!O17+'ACP_Agri_9(ii)'!O17</f>
        <v>7357</v>
      </c>
      <c r="R17" s="98">
        <f>N17+K17+F17+'ACP_PS_11(i)'!P17+'ACP_PS_11(i)'!K17+'ACP_PS_11(i)'!F17+ACP_MSME_10!P17+'ACP_Agri_9(ii)'!P17</f>
        <v>23047</v>
      </c>
      <c r="S17" s="99">
        <f t="shared" si="1"/>
        <v>96.448516780250799</v>
      </c>
    </row>
    <row r="18" spans="1:21">
      <c r="A18" s="57">
        <v>13</v>
      </c>
      <c r="B18" s="58" t="s">
        <v>63</v>
      </c>
      <c r="C18" s="98">
        <v>1626</v>
      </c>
      <c r="D18" s="98">
        <v>2975</v>
      </c>
      <c r="E18" s="98">
        <v>0</v>
      </c>
      <c r="F18" s="98">
        <v>0</v>
      </c>
      <c r="G18" s="99">
        <f t="shared" si="2"/>
        <v>0</v>
      </c>
      <c r="H18" s="98">
        <v>75</v>
      </c>
      <c r="I18" s="98">
        <v>176</v>
      </c>
      <c r="J18" s="98">
        <v>0</v>
      </c>
      <c r="K18" s="98">
        <v>0</v>
      </c>
      <c r="L18" s="99">
        <f t="shared" si="0"/>
        <v>0</v>
      </c>
      <c r="M18" s="98">
        <v>0</v>
      </c>
      <c r="N18" s="98">
        <v>0</v>
      </c>
      <c r="O18" s="98">
        <f>H18+C18+'ACP_PS_11(i)'!M18+'ACP_PS_11(i)'!H18+'ACP_PS_11(i)'!C18+ACP_MSME_10!C18+'ACP_Agri_9(ii)'!M18</f>
        <v>8866</v>
      </c>
      <c r="P18" s="98">
        <f>I18+D18+'ACP_PS_11(i)'!N18+'ACP_PS_11(i)'!I18+'ACP_PS_11(i)'!D18+ACP_MSME_10!D18+'ACP_Agri_9(ii)'!N18</f>
        <v>28005.43</v>
      </c>
      <c r="Q18" s="98">
        <f>M18+J18+E18+'ACP_PS_11(i)'!O18+'ACP_PS_11(i)'!J18+'ACP_PS_11(i)'!E18+ACP_MSME_10!O18+'ACP_Agri_9(ii)'!O18</f>
        <v>973</v>
      </c>
      <c r="R18" s="98">
        <f>N18+K18+F18+'ACP_PS_11(i)'!P18+'ACP_PS_11(i)'!K18+'ACP_PS_11(i)'!F18+ACP_MSME_10!P18+'ACP_Agri_9(ii)'!P18</f>
        <v>5000.75</v>
      </c>
      <c r="S18" s="99">
        <f t="shared" si="1"/>
        <v>17.856358570462941</v>
      </c>
    </row>
    <row r="19" spans="1:21">
      <c r="A19" s="57">
        <v>14</v>
      </c>
      <c r="B19" s="90" t="s">
        <v>206</v>
      </c>
      <c r="C19" s="98">
        <v>3880</v>
      </c>
      <c r="D19" s="98">
        <v>6793</v>
      </c>
      <c r="E19" s="98">
        <v>105</v>
      </c>
      <c r="F19" s="98">
        <v>269</v>
      </c>
      <c r="G19" s="99">
        <f t="shared" si="2"/>
        <v>3.9599587810981891</v>
      </c>
      <c r="H19" s="98">
        <v>66</v>
      </c>
      <c r="I19" s="98">
        <v>663</v>
      </c>
      <c r="J19" s="98">
        <v>0</v>
      </c>
      <c r="K19" s="98">
        <v>0</v>
      </c>
      <c r="L19" s="99">
        <f t="shared" si="0"/>
        <v>0</v>
      </c>
      <c r="M19" s="98">
        <v>0</v>
      </c>
      <c r="N19" s="98">
        <v>0</v>
      </c>
      <c r="O19" s="98">
        <f>H19+C19+'ACP_PS_11(i)'!M19+'ACP_PS_11(i)'!H19+'ACP_PS_11(i)'!C19+ACP_MSME_10!C19+'ACP_Agri_9(ii)'!M19</f>
        <v>27237</v>
      </c>
      <c r="P19" s="98">
        <f>I19+D19+'ACP_PS_11(i)'!N19+'ACP_PS_11(i)'!I19+'ACP_PS_11(i)'!D19+ACP_MSME_10!D19+'ACP_Agri_9(ii)'!N19</f>
        <v>89997.09</v>
      </c>
      <c r="Q19" s="98">
        <f>M19+J19+E19+'ACP_PS_11(i)'!O19+'ACP_PS_11(i)'!J19+'ACP_PS_11(i)'!E19+ACP_MSME_10!O19+'ACP_Agri_9(ii)'!O19</f>
        <v>15187</v>
      </c>
      <c r="R19" s="98">
        <f>N19+K19+F19+'ACP_PS_11(i)'!P19+'ACP_PS_11(i)'!K19+'ACP_PS_11(i)'!F19+ACP_MSME_10!P19+'ACP_Agri_9(ii)'!P19</f>
        <v>54451.41</v>
      </c>
      <c r="S19" s="99">
        <f t="shared" si="1"/>
        <v>60.503522947241962</v>
      </c>
    </row>
    <row r="20" spans="1:21">
      <c r="A20" s="57">
        <v>15</v>
      </c>
      <c r="B20" s="58" t="s">
        <v>207</v>
      </c>
      <c r="C20" s="98">
        <v>2482</v>
      </c>
      <c r="D20" s="98">
        <v>3988</v>
      </c>
      <c r="E20" s="98">
        <v>0</v>
      </c>
      <c r="F20" s="98">
        <v>0</v>
      </c>
      <c r="G20" s="99">
        <f t="shared" si="2"/>
        <v>0</v>
      </c>
      <c r="H20" s="98">
        <v>28</v>
      </c>
      <c r="I20" s="98">
        <v>221</v>
      </c>
      <c r="J20" s="98">
        <v>0</v>
      </c>
      <c r="K20" s="98">
        <v>0</v>
      </c>
      <c r="L20" s="99">
        <f t="shared" si="0"/>
        <v>0</v>
      </c>
      <c r="M20" s="98">
        <v>0</v>
      </c>
      <c r="N20" s="98">
        <v>0</v>
      </c>
      <c r="O20" s="98">
        <f>H20+C20+'ACP_PS_11(i)'!M20+'ACP_PS_11(i)'!H20+'ACP_PS_11(i)'!C20+ACP_MSME_10!C20+'ACP_Agri_9(ii)'!M20</f>
        <v>12553</v>
      </c>
      <c r="P20" s="98">
        <f>I20+D20+'ACP_PS_11(i)'!N20+'ACP_PS_11(i)'!I20+'ACP_PS_11(i)'!D20+ACP_MSME_10!D20+'ACP_Agri_9(ii)'!N20</f>
        <v>40126.1</v>
      </c>
      <c r="Q20" s="98">
        <f>M20+J20+E20+'ACP_PS_11(i)'!O20+'ACP_PS_11(i)'!J20+'ACP_PS_11(i)'!E20+ACP_MSME_10!O20+'ACP_Agri_9(ii)'!O20</f>
        <v>2090</v>
      </c>
      <c r="R20" s="98">
        <f>N20+K20+F20+'ACP_PS_11(i)'!P20+'ACP_PS_11(i)'!K20+'ACP_PS_11(i)'!F20+ACP_MSME_10!P20+'ACP_Agri_9(ii)'!P20</f>
        <v>16581.84</v>
      </c>
      <c r="S20" s="99">
        <f t="shared" si="1"/>
        <v>41.324325065231861</v>
      </c>
    </row>
    <row r="21" spans="1:21">
      <c r="A21" s="57">
        <v>16</v>
      </c>
      <c r="B21" s="58" t="s">
        <v>64</v>
      </c>
      <c r="C21" s="98">
        <v>12110</v>
      </c>
      <c r="D21" s="98">
        <v>24489</v>
      </c>
      <c r="E21" s="98">
        <v>2</v>
      </c>
      <c r="F21" s="98">
        <v>25</v>
      </c>
      <c r="G21" s="99">
        <f t="shared" si="2"/>
        <v>0.10208665114949569</v>
      </c>
      <c r="H21" s="98">
        <v>329</v>
      </c>
      <c r="I21" s="98">
        <v>2421</v>
      </c>
      <c r="J21" s="98">
        <v>0</v>
      </c>
      <c r="K21" s="98">
        <v>0</v>
      </c>
      <c r="L21" s="99">
        <f t="shared" si="0"/>
        <v>0</v>
      </c>
      <c r="M21" s="98">
        <v>690</v>
      </c>
      <c r="N21" s="98">
        <v>237</v>
      </c>
      <c r="O21" s="98">
        <f>H21+C21+'ACP_PS_11(i)'!M21+'ACP_PS_11(i)'!H21+'ACP_PS_11(i)'!C21+ACP_MSME_10!C21+'ACP_Agri_9(ii)'!M21</f>
        <v>139577</v>
      </c>
      <c r="P21" s="98">
        <f>I21+D21+'ACP_PS_11(i)'!N21+'ACP_PS_11(i)'!I21+'ACP_PS_11(i)'!D21+ACP_MSME_10!D21+'ACP_Agri_9(ii)'!N21</f>
        <v>490182.81</v>
      </c>
      <c r="Q21" s="98">
        <f>M21+J21+E21+'ACP_PS_11(i)'!O21+'ACP_PS_11(i)'!J21+'ACP_PS_11(i)'!E21+ACP_MSME_10!O21+'ACP_Agri_9(ii)'!O21</f>
        <v>131655</v>
      </c>
      <c r="R21" s="98">
        <f>N21+K21+F21+'ACP_PS_11(i)'!P21+'ACP_PS_11(i)'!K21+'ACP_PS_11(i)'!F21+ACP_MSME_10!P21+'ACP_Agri_9(ii)'!P21</f>
        <v>507562</v>
      </c>
      <c r="S21" s="99">
        <f t="shared" si="1"/>
        <v>103.54545072684209</v>
      </c>
    </row>
    <row r="22" spans="1:21">
      <c r="A22" s="57">
        <v>17</v>
      </c>
      <c r="B22" s="90" t="s">
        <v>69</v>
      </c>
      <c r="C22" s="98">
        <v>708</v>
      </c>
      <c r="D22" s="98">
        <v>1554</v>
      </c>
      <c r="E22" s="98">
        <v>0</v>
      </c>
      <c r="F22" s="98">
        <v>0</v>
      </c>
      <c r="G22" s="99">
        <f t="shared" si="2"/>
        <v>0</v>
      </c>
      <c r="H22" s="98">
        <v>4</v>
      </c>
      <c r="I22" s="98">
        <v>67</v>
      </c>
      <c r="J22" s="98">
        <v>0</v>
      </c>
      <c r="K22" s="98">
        <v>0</v>
      </c>
      <c r="L22" s="99">
        <f t="shared" si="0"/>
        <v>0</v>
      </c>
      <c r="M22" s="98">
        <v>0</v>
      </c>
      <c r="N22" s="98">
        <v>0</v>
      </c>
      <c r="O22" s="98">
        <f>H22+C22+'ACP_PS_11(i)'!M22+'ACP_PS_11(i)'!H22+'ACP_PS_11(i)'!C22+ACP_MSME_10!C22+'ACP_Agri_9(ii)'!M22</f>
        <v>1524</v>
      </c>
      <c r="P22" s="98">
        <f>I22+D22+'ACP_PS_11(i)'!N22+'ACP_PS_11(i)'!I22+'ACP_PS_11(i)'!D22+ACP_MSME_10!D22+'ACP_Agri_9(ii)'!N22</f>
        <v>5393.17</v>
      </c>
      <c r="Q22" s="98">
        <f>M22+J22+E22+'ACP_PS_11(i)'!O22+'ACP_PS_11(i)'!J22+'ACP_PS_11(i)'!E22+ACP_MSME_10!O22+'ACP_Agri_9(ii)'!O22</f>
        <v>0</v>
      </c>
      <c r="R22" s="98">
        <f>N22+K22+F22+'ACP_PS_11(i)'!P22+'ACP_PS_11(i)'!K22+'ACP_PS_11(i)'!F22+ACP_MSME_10!P22+'ACP_Agri_9(ii)'!P22</f>
        <v>0</v>
      </c>
      <c r="S22" s="99">
        <f t="shared" si="1"/>
        <v>0</v>
      </c>
    </row>
    <row r="23" spans="1:21">
      <c r="A23" s="57">
        <v>18</v>
      </c>
      <c r="B23" s="58" t="s">
        <v>208</v>
      </c>
      <c r="C23" s="98">
        <v>82</v>
      </c>
      <c r="D23" s="98">
        <v>223</v>
      </c>
      <c r="E23" s="98">
        <v>0</v>
      </c>
      <c r="F23" s="98">
        <v>0</v>
      </c>
      <c r="G23" s="99">
        <f t="shared" si="2"/>
        <v>0</v>
      </c>
      <c r="H23" s="98">
        <v>2</v>
      </c>
      <c r="I23" s="98">
        <v>37</v>
      </c>
      <c r="J23" s="98">
        <v>0</v>
      </c>
      <c r="K23" s="98">
        <v>0</v>
      </c>
      <c r="L23" s="99">
        <f t="shared" si="0"/>
        <v>0</v>
      </c>
      <c r="M23" s="98">
        <v>0</v>
      </c>
      <c r="N23" s="98">
        <v>0</v>
      </c>
      <c r="O23" s="98">
        <f>H23+C23+'ACP_PS_11(i)'!M23+'ACP_PS_11(i)'!H23+'ACP_PS_11(i)'!C23+ACP_MSME_10!C23+'ACP_Agri_9(ii)'!M23</f>
        <v>635</v>
      </c>
      <c r="P23" s="98">
        <f>I23+D23+'ACP_PS_11(i)'!N23+'ACP_PS_11(i)'!I23+'ACP_PS_11(i)'!D23+ACP_MSME_10!D23+'ACP_Agri_9(ii)'!N23</f>
        <v>2746.06</v>
      </c>
      <c r="Q23" s="98">
        <f>M23+J23+E23+'ACP_PS_11(i)'!O23+'ACP_PS_11(i)'!J23+'ACP_PS_11(i)'!E23+ACP_MSME_10!O23+'ACP_Agri_9(ii)'!O23</f>
        <v>18</v>
      </c>
      <c r="R23" s="98">
        <f>N23+K23+F23+'ACP_PS_11(i)'!P23+'ACP_PS_11(i)'!K23+'ACP_PS_11(i)'!F23+ACP_MSME_10!P23+'ACP_Agri_9(ii)'!P23</f>
        <v>29.79</v>
      </c>
      <c r="S23" s="99">
        <f t="shared" si="1"/>
        <v>1.0848269884853208</v>
      </c>
    </row>
    <row r="24" spans="1:21">
      <c r="A24" s="57">
        <v>19</v>
      </c>
      <c r="B24" s="91" t="s">
        <v>209</v>
      </c>
      <c r="C24" s="98">
        <v>357</v>
      </c>
      <c r="D24" s="98">
        <v>557</v>
      </c>
      <c r="E24" s="98">
        <v>0</v>
      </c>
      <c r="F24" s="98">
        <v>0</v>
      </c>
      <c r="G24" s="99">
        <f t="shared" si="2"/>
        <v>0</v>
      </c>
      <c r="H24" s="98">
        <v>4</v>
      </c>
      <c r="I24" s="98">
        <v>86</v>
      </c>
      <c r="J24" s="98">
        <v>0</v>
      </c>
      <c r="K24" s="98">
        <v>0</v>
      </c>
      <c r="L24" s="99">
        <f t="shared" si="0"/>
        <v>0</v>
      </c>
      <c r="M24" s="98">
        <v>0</v>
      </c>
      <c r="N24" s="98">
        <v>0</v>
      </c>
      <c r="O24" s="98">
        <f>H24+C24+'ACP_PS_11(i)'!M24+'ACP_PS_11(i)'!H24+'ACP_PS_11(i)'!C24+ACP_MSME_10!C24+'ACP_Agri_9(ii)'!M24</f>
        <v>2112</v>
      </c>
      <c r="P24" s="98">
        <f>I24+D24+'ACP_PS_11(i)'!N24+'ACP_PS_11(i)'!I24+'ACP_PS_11(i)'!D24+ACP_MSME_10!D24+'ACP_Agri_9(ii)'!N24</f>
        <v>7616.35</v>
      </c>
      <c r="Q24" s="98">
        <f>M24+J24+E24+'ACP_PS_11(i)'!O24+'ACP_PS_11(i)'!J24+'ACP_PS_11(i)'!E24+ACP_MSME_10!O24+'ACP_Agri_9(ii)'!O24</f>
        <v>105</v>
      </c>
      <c r="R24" s="98">
        <f>N24+K24+F24+'ACP_PS_11(i)'!P24+'ACP_PS_11(i)'!K24+'ACP_PS_11(i)'!F24+ACP_MSME_10!P24+'ACP_Agri_9(ii)'!P24</f>
        <v>750.9</v>
      </c>
      <c r="S24" s="99">
        <f t="shared" si="1"/>
        <v>9.8590532210310702</v>
      </c>
    </row>
    <row r="25" spans="1:21">
      <c r="A25" s="57">
        <v>20</v>
      </c>
      <c r="B25" s="58" t="s">
        <v>210</v>
      </c>
      <c r="C25" s="98">
        <v>111</v>
      </c>
      <c r="D25" s="98">
        <v>269</v>
      </c>
      <c r="E25" s="98">
        <v>0</v>
      </c>
      <c r="F25" s="98">
        <v>0</v>
      </c>
      <c r="G25" s="99">
        <f t="shared" si="2"/>
        <v>0</v>
      </c>
      <c r="H25" s="98">
        <v>3</v>
      </c>
      <c r="I25" s="98">
        <v>55</v>
      </c>
      <c r="J25" s="98">
        <v>0</v>
      </c>
      <c r="K25" s="98">
        <v>0</v>
      </c>
      <c r="L25" s="99">
        <f t="shared" si="0"/>
        <v>0</v>
      </c>
      <c r="M25" s="98">
        <v>0</v>
      </c>
      <c r="N25" s="98">
        <v>0</v>
      </c>
      <c r="O25" s="98">
        <f>H25+C25+'ACP_PS_11(i)'!M25+'ACP_PS_11(i)'!H25+'ACP_PS_11(i)'!C25+ACP_MSME_10!C25+'ACP_Agri_9(ii)'!M25</f>
        <v>3579</v>
      </c>
      <c r="P25" s="98">
        <f>I25+D25+'ACP_PS_11(i)'!N25+'ACP_PS_11(i)'!I25+'ACP_PS_11(i)'!D25+ACP_MSME_10!D25+'ACP_Agri_9(ii)'!N25</f>
        <v>18457.810000000001</v>
      </c>
      <c r="Q25" s="98">
        <f>M25+J25+E25+'ACP_PS_11(i)'!O25+'ACP_PS_11(i)'!J25+'ACP_PS_11(i)'!E25+ACP_MSME_10!O25+'ACP_Agri_9(ii)'!O25</f>
        <v>378</v>
      </c>
      <c r="R25" s="98">
        <f>N25+K25+F25+'ACP_PS_11(i)'!P25+'ACP_PS_11(i)'!K25+'ACP_PS_11(i)'!F25+ACP_MSME_10!P25+'ACP_Agri_9(ii)'!P25</f>
        <v>655</v>
      </c>
      <c r="S25" s="99">
        <f t="shared" si="1"/>
        <v>3.5486333427421779</v>
      </c>
    </row>
    <row r="26" spans="1:21">
      <c r="A26" s="57">
        <v>21</v>
      </c>
      <c r="B26" s="58" t="s">
        <v>211</v>
      </c>
      <c r="C26" s="98">
        <v>430</v>
      </c>
      <c r="D26" s="98">
        <v>778</v>
      </c>
      <c r="E26" s="98">
        <v>0</v>
      </c>
      <c r="F26" s="98">
        <v>0</v>
      </c>
      <c r="G26" s="99">
        <f t="shared" si="2"/>
        <v>0</v>
      </c>
      <c r="H26" s="98">
        <v>6</v>
      </c>
      <c r="I26" s="98">
        <v>106</v>
      </c>
      <c r="J26" s="98">
        <v>0</v>
      </c>
      <c r="K26" s="98">
        <v>0</v>
      </c>
      <c r="L26" s="99">
        <f t="shared" si="0"/>
        <v>0</v>
      </c>
      <c r="M26" s="98">
        <v>0</v>
      </c>
      <c r="N26" s="98">
        <v>0</v>
      </c>
      <c r="O26" s="98">
        <f>H26+C26+'ACP_PS_11(i)'!M26+'ACP_PS_11(i)'!H26+'ACP_PS_11(i)'!C26+ACP_MSME_10!C26+'ACP_Agri_9(ii)'!M26</f>
        <v>2950</v>
      </c>
      <c r="P26" s="98">
        <f>I26+D26+'ACP_PS_11(i)'!N26+'ACP_PS_11(i)'!I26+'ACP_PS_11(i)'!D26+ACP_MSME_10!D26+'ACP_Agri_9(ii)'!N26</f>
        <v>11189.9</v>
      </c>
      <c r="Q26" s="98">
        <f>M26+J26+E26+'ACP_PS_11(i)'!O26+'ACP_PS_11(i)'!J26+'ACP_PS_11(i)'!E26+ACP_MSME_10!O26+'ACP_Agri_9(ii)'!O26</f>
        <v>286</v>
      </c>
      <c r="R26" s="98">
        <f>N26+K26+F26+'ACP_PS_11(i)'!P26+'ACP_PS_11(i)'!K26+'ACP_PS_11(i)'!F26+ACP_MSME_10!P26+'ACP_Agri_9(ii)'!P26</f>
        <v>535</v>
      </c>
      <c r="S26" s="99">
        <f t="shared" si="1"/>
        <v>4.7810972394748834</v>
      </c>
    </row>
    <row r="27" spans="1:21" s="107" customFormat="1">
      <c r="A27" s="57">
        <v>22</v>
      </c>
      <c r="B27" s="58" t="s">
        <v>70</v>
      </c>
      <c r="C27" s="98">
        <v>72584</v>
      </c>
      <c r="D27" s="98">
        <v>136647</v>
      </c>
      <c r="E27" s="98">
        <v>262</v>
      </c>
      <c r="F27" s="98">
        <v>1366</v>
      </c>
      <c r="G27" s="99">
        <f t="shared" si="2"/>
        <v>0.99965604806545327</v>
      </c>
      <c r="H27" s="98">
        <v>1599</v>
      </c>
      <c r="I27" s="98">
        <v>9087</v>
      </c>
      <c r="J27" s="98">
        <v>43</v>
      </c>
      <c r="K27" s="98">
        <v>78</v>
      </c>
      <c r="L27" s="99">
        <f t="shared" si="0"/>
        <v>0.85836909871244638</v>
      </c>
      <c r="M27" s="98">
        <v>116</v>
      </c>
      <c r="N27" s="98">
        <v>4752</v>
      </c>
      <c r="O27" s="98">
        <f>H27+C27+'ACP_PS_11(i)'!M27+'ACP_PS_11(i)'!H27+'ACP_PS_11(i)'!C27+ACP_MSME_10!C27+'ACP_Agri_9(ii)'!M27</f>
        <v>860328</v>
      </c>
      <c r="P27" s="98">
        <f>I27+D27+'ACP_PS_11(i)'!N27+'ACP_PS_11(i)'!I27+'ACP_PS_11(i)'!D27+ACP_MSME_10!D27+'ACP_Agri_9(ii)'!N27</f>
        <v>2815582.46</v>
      </c>
      <c r="Q27" s="98">
        <f>M27+J27+E27+'ACP_PS_11(i)'!O27+'ACP_PS_11(i)'!J27+'ACP_PS_11(i)'!E27+ACP_MSME_10!O27+'ACP_Agri_9(ii)'!O27</f>
        <v>608811</v>
      </c>
      <c r="R27" s="98">
        <f>N27+K27+F27+'ACP_PS_11(i)'!P27+'ACP_PS_11(i)'!K27+'ACP_PS_11(i)'!F27+ACP_MSME_10!P27+'ACP_Agri_9(ii)'!P27</f>
        <v>1377182</v>
      </c>
      <c r="S27" s="99">
        <f t="shared" si="1"/>
        <v>48.912863308574522</v>
      </c>
      <c r="T27" s="110"/>
      <c r="U27" s="110"/>
    </row>
    <row r="28" spans="1:21">
      <c r="A28" s="57">
        <v>23</v>
      </c>
      <c r="B28" s="58" t="s">
        <v>65</v>
      </c>
      <c r="C28" s="98">
        <v>2998</v>
      </c>
      <c r="D28" s="98">
        <v>4974</v>
      </c>
      <c r="E28" s="98">
        <v>0</v>
      </c>
      <c r="F28" s="98">
        <v>0</v>
      </c>
      <c r="G28" s="99">
        <f t="shared" si="2"/>
        <v>0</v>
      </c>
      <c r="H28" s="98">
        <v>12</v>
      </c>
      <c r="I28" s="98">
        <v>283</v>
      </c>
      <c r="J28" s="98">
        <v>0</v>
      </c>
      <c r="K28" s="98">
        <v>0</v>
      </c>
      <c r="L28" s="99">
        <f t="shared" si="0"/>
        <v>0</v>
      </c>
      <c r="M28" s="98">
        <v>53</v>
      </c>
      <c r="N28" s="98">
        <v>22</v>
      </c>
      <c r="O28" s="98">
        <f>H28+C28+'ACP_PS_11(i)'!M28+'ACP_PS_11(i)'!H28+'ACP_PS_11(i)'!C28+ACP_MSME_10!C28+'ACP_Agri_9(ii)'!M28</f>
        <v>24595</v>
      </c>
      <c r="P28" s="98">
        <f>I28+D28+'ACP_PS_11(i)'!N28+'ACP_PS_11(i)'!I28+'ACP_PS_11(i)'!D28+ACP_MSME_10!D28+'ACP_Agri_9(ii)'!N28</f>
        <v>72002.05</v>
      </c>
      <c r="Q28" s="98">
        <f>M28+J28+E28+'ACP_PS_11(i)'!O28+'ACP_PS_11(i)'!J28+'ACP_PS_11(i)'!E28+ACP_MSME_10!O28+'ACP_Agri_9(ii)'!O28</f>
        <v>24663</v>
      </c>
      <c r="R28" s="98">
        <f>N28+K28+F28+'ACP_PS_11(i)'!P28+'ACP_PS_11(i)'!K28+'ACP_PS_11(i)'!F28+ACP_MSME_10!P28+'ACP_Agri_9(ii)'!P28</f>
        <v>60240</v>
      </c>
      <c r="S28" s="99">
        <f t="shared" si="1"/>
        <v>83.664284558564646</v>
      </c>
    </row>
    <row r="29" spans="1:21">
      <c r="A29" s="57">
        <v>24</v>
      </c>
      <c r="B29" s="58" t="s">
        <v>212</v>
      </c>
      <c r="C29" s="98">
        <v>8268</v>
      </c>
      <c r="D29" s="98">
        <v>9485</v>
      </c>
      <c r="E29" s="98">
        <v>0</v>
      </c>
      <c r="F29" s="98">
        <v>0</v>
      </c>
      <c r="G29" s="99">
        <f t="shared" si="2"/>
        <v>0</v>
      </c>
      <c r="H29" s="98">
        <v>38</v>
      </c>
      <c r="I29" s="98">
        <v>697</v>
      </c>
      <c r="J29" s="98">
        <v>0</v>
      </c>
      <c r="K29" s="98">
        <v>0</v>
      </c>
      <c r="L29" s="99">
        <f t="shared" si="0"/>
        <v>0</v>
      </c>
      <c r="M29" s="98">
        <v>2910</v>
      </c>
      <c r="N29" s="98">
        <v>13680</v>
      </c>
      <c r="O29" s="98">
        <f>H29+C29+'ACP_PS_11(i)'!M29+'ACP_PS_11(i)'!H29+'ACP_PS_11(i)'!C29+ACP_MSME_10!C29+'ACP_Agri_9(ii)'!M29</f>
        <v>69559</v>
      </c>
      <c r="P29" s="98">
        <f>I29+D29+'ACP_PS_11(i)'!N29+'ACP_PS_11(i)'!I29+'ACP_PS_11(i)'!D29+ACP_MSME_10!D29+'ACP_Agri_9(ii)'!N29</f>
        <v>229293.8</v>
      </c>
      <c r="Q29" s="98">
        <f>M29+J29+E29+'ACP_PS_11(i)'!O29+'ACP_PS_11(i)'!J29+'ACP_PS_11(i)'!E29+ACP_MSME_10!O29+'ACP_Agri_9(ii)'!O29</f>
        <v>8375</v>
      </c>
      <c r="R29" s="98">
        <f>N29+K29+F29+'ACP_PS_11(i)'!P29+'ACP_PS_11(i)'!K29+'ACP_PS_11(i)'!F29+ACP_MSME_10!P29+'ACP_Agri_9(ii)'!P29</f>
        <v>35717</v>
      </c>
      <c r="S29" s="99">
        <f t="shared" si="1"/>
        <v>15.576958469875768</v>
      </c>
    </row>
    <row r="30" spans="1:21">
      <c r="A30" s="57">
        <v>25</v>
      </c>
      <c r="B30" s="58" t="s">
        <v>66</v>
      </c>
      <c r="C30" s="98">
        <v>6492</v>
      </c>
      <c r="D30" s="98">
        <v>14644</v>
      </c>
      <c r="E30" s="98">
        <v>86</v>
      </c>
      <c r="F30" s="98">
        <v>301</v>
      </c>
      <c r="G30" s="99">
        <f t="shared" si="2"/>
        <v>2.0554493307839388</v>
      </c>
      <c r="H30" s="98">
        <v>187</v>
      </c>
      <c r="I30" s="98">
        <v>1087</v>
      </c>
      <c r="J30" s="98">
        <v>0</v>
      </c>
      <c r="K30" s="98">
        <v>0</v>
      </c>
      <c r="L30" s="99">
        <f t="shared" si="0"/>
        <v>0</v>
      </c>
      <c r="M30" s="98">
        <v>0</v>
      </c>
      <c r="N30" s="98">
        <v>0</v>
      </c>
      <c r="O30" s="98">
        <f>H30+C30+'ACP_PS_11(i)'!M30+'ACP_PS_11(i)'!H30+'ACP_PS_11(i)'!C30+ACP_MSME_10!C30+'ACP_Agri_9(ii)'!M30</f>
        <v>126889</v>
      </c>
      <c r="P30" s="98">
        <f>I30+D30+'ACP_PS_11(i)'!N30+'ACP_PS_11(i)'!I30+'ACP_PS_11(i)'!D30+ACP_MSME_10!D30+'ACP_Agri_9(ii)'!N30</f>
        <v>320673.66000000003</v>
      </c>
      <c r="Q30" s="98">
        <f>M30+J30+E30+'ACP_PS_11(i)'!O30+'ACP_PS_11(i)'!J30+'ACP_PS_11(i)'!E30+ACP_MSME_10!O30+'ACP_Agri_9(ii)'!O30</f>
        <v>95477</v>
      </c>
      <c r="R30" s="98">
        <f>N30+K30+F30+'ACP_PS_11(i)'!P30+'ACP_PS_11(i)'!K30+'ACP_PS_11(i)'!F30+ACP_MSME_10!P30+'ACP_Agri_9(ii)'!P30</f>
        <v>269571</v>
      </c>
      <c r="S30" s="99">
        <f t="shared" si="1"/>
        <v>84.063967087287423</v>
      </c>
    </row>
    <row r="31" spans="1:21">
      <c r="A31" s="57">
        <v>26</v>
      </c>
      <c r="B31" s="175" t="s">
        <v>67</v>
      </c>
      <c r="C31" s="98">
        <v>335</v>
      </c>
      <c r="D31" s="98">
        <v>421</v>
      </c>
      <c r="E31" s="98">
        <v>0</v>
      </c>
      <c r="F31" s="98">
        <v>0</v>
      </c>
      <c r="G31" s="99">
        <f t="shared" si="2"/>
        <v>0</v>
      </c>
      <c r="H31" s="98">
        <v>4</v>
      </c>
      <c r="I31" s="98">
        <v>76</v>
      </c>
      <c r="J31" s="98">
        <v>0</v>
      </c>
      <c r="K31" s="98">
        <v>0</v>
      </c>
      <c r="L31" s="99">
        <f t="shared" si="0"/>
        <v>0</v>
      </c>
      <c r="M31" s="98">
        <v>0</v>
      </c>
      <c r="N31" s="98">
        <v>0</v>
      </c>
      <c r="O31" s="98">
        <f>H31+C31+'ACP_PS_11(i)'!M31+'ACP_PS_11(i)'!H31+'ACP_PS_11(i)'!C31+ACP_MSME_10!C31+'ACP_Agri_9(ii)'!M31</f>
        <v>3060</v>
      </c>
      <c r="P31" s="98">
        <f>I31+D31+'ACP_PS_11(i)'!N31+'ACP_PS_11(i)'!I31+'ACP_PS_11(i)'!D31+ACP_MSME_10!D31+'ACP_Agri_9(ii)'!N31</f>
        <v>11216.56</v>
      </c>
      <c r="Q31" s="98">
        <f>M31+J31+E31+'ACP_PS_11(i)'!O31+'ACP_PS_11(i)'!J31+'ACP_PS_11(i)'!E31+ACP_MSME_10!O31+'ACP_Agri_9(ii)'!O31</f>
        <v>2244</v>
      </c>
      <c r="R31" s="98">
        <f>N31+K31+F31+'ACP_PS_11(i)'!P31+'ACP_PS_11(i)'!K31+'ACP_PS_11(i)'!F31+ACP_MSME_10!P31+'ACP_Agri_9(ii)'!P31</f>
        <v>9573</v>
      </c>
      <c r="S31" s="99">
        <f t="shared" si="1"/>
        <v>85.347022616559798</v>
      </c>
    </row>
    <row r="32" spans="1:21">
      <c r="A32" s="57">
        <v>27</v>
      </c>
      <c r="B32" s="58" t="s">
        <v>50</v>
      </c>
      <c r="C32" s="98">
        <v>1122</v>
      </c>
      <c r="D32" s="98">
        <v>1889</v>
      </c>
      <c r="E32" s="98">
        <v>0</v>
      </c>
      <c r="F32" s="98">
        <v>0</v>
      </c>
      <c r="G32" s="99">
        <f t="shared" si="2"/>
        <v>0</v>
      </c>
      <c r="H32" s="98">
        <v>8</v>
      </c>
      <c r="I32" s="98">
        <v>131</v>
      </c>
      <c r="J32" s="98">
        <v>0</v>
      </c>
      <c r="K32" s="98">
        <v>0</v>
      </c>
      <c r="L32" s="99">
        <f t="shared" si="0"/>
        <v>0</v>
      </c>
      <c r="M32" s="98">
        <v>0</v>
      </c>
      <c r="N32" s="98">
        <v>0</v>
      </c>
      <c r="O32" s="98">
        <f>H32+C32+'ACP_PS_11(i)'!M32+'ACP_PS_11(i)'!H32+'ACP_PS_11(i)'!C32+ACP_MSME_10!C32+'ACP_Agri_9(ii)'!M32</f>
        <v>8087</v>
      </c>
      <c r="P32" s="98">
        <f>I32+D32+'ACP_PS_11(i)'!N32+'ACP_PS_11(i)'!I32+'ACP_PS_11(i)'!D32+ACP_MSME_10!D32+'ACP_Agri_9(ii)'!N32</f>
        <v>26439.41</v>
      </c>
      <c r="Q32" s="98">
        <f>M32+J32+E32+'ACP_PS_11(i)'!O32+'ACP_PS_11(i)'!J32+'ACP_PS_11(i)'!E32+ACP_MSME_10!O32+'ACP_Agri_9(ii)'!O32</f>
        <v>18720</v>
      </c>
      <c r="R32" s="98">
        <f>N32+K32+F32+'ACP_PS_11(i)'!P32+'ACP_PS_11(i)'!K32+'ACP_PS_11(i)'!F32+ACP_MSME_10!P32+'ACP_Agri_9(ii)'!P32</f>
        <v>68637.09</v>
      </c>
      <c r="S32" s="99">
        <f t="shared" si="1"/>
        <v>259.60144345127219</v>
      </c>
    </row>
    <row r="33" spans="1:21" s="107" customFormat="1">
      <c r="A33" s="324"/>
      <c r="B33" s="59" t="s">
        <v>213</v>
      </c>
      <c r="C33" s="105">
        <f>SUM(C6:C32)</f>
        <v>173430</v>
      </c>
      <c r="D33" s="105">
        <f t="shared" ref="D33:N33" si="3">SUM(D6:D32)</f>
        <v>317554</v>
      </c>
      <c r="E33" s="105">
        <f t="shared" si="3"/>
        <v>496</v>
      </c>
      <c r="F33" s="105">
        <f t="shared" si="3"/>
        <v>2336</v>
      </c>
      <c r="G33" s="96">
        <f t="shared" si="2"/>
        <v>0.7356229176769935</v>
      </c>
      <c r="H33" s="105">
        <f t="shared" si="3"/>
        <v>4305</v>
      </c>
      <c r="I33" s="105">
        <f t="shared" si="3"/>
        <v>23086</v>
      </c>
      <c r="J33" s="105">
        <f t="shared" si="3"/>
        <v>50</v>
      </c>
      <c r="K33" s="105">
        <f t="shared" si="3"/>
        <v>487.06</v>
      </c>
      <c r="L33" s="96">
        <f t="shared" si="0"/>
        <v>2.1097634930260765</v>
      </c>
      <c r="M33" s="105">
        <f t="shared" si="3"/>
        <v>11844</v>
      </c>
      <c r="N33" s="105">
        <f t="shared" si="3"/>
        <v>239933.99</v>
      </c>
      <c r="O33" s="105">
        <f>H33+C33+'ACP_PS_11(i)'!M33+'ACP_PS_11(i)'!H33+'ACP_PS_11(i)'!C33+ACP_MSME_10!C33+'ACP_Agri_9(ii)'!M33</f>
        <v>2080180</v>
      </c>
      <c r="P33" s="105">
        <f>I33+D33+'ACP_PS_11(i)'!N33+'ACP_PS_11(i)'!I33+'ACP_PS_11(i)'!D33+ACP_MSME_10!D33+'ACP_Agri_9(ii)'!N33</f>
        <v>6777585.2599999998</v>
      </c>
      <c r="Q33" s="105">
        <f>M33+J33+E33+'ACP_PS_11(i)'!O33+'ACP_PS_11(i)'!J33+'ACP_PS_11(i)'!E33+ACP_MSME_10!O33+'ACP_Agri_9(ii)'!O33</f>
        <v>2631863</v>
      </c>
      <c r="R33" s="105">
        <f>N33+K33+F33+'ACP_PS_11(i)'!P33+'ACP_PS_11(i)'!K33+'ACP_PS_11(i)'!F33+ACP_MSME_10!P33+'ACP_Agri_9(ii)'!P33</f>
        <v>4810112.42</v>
      </c>
      <c r="S33" s="96">
        <f t="shared" si="1"/>
        <v>70.970887646199827</v>
      </c>
      <c r="T33" s="110"/>
      <c r="U33" s="110"/>
    </row>
    <row r="34" spans="1:21" s="107" customFormat="1">
      <c r="A34" s="57">
        <v>28</v>
      </c>
      <c r="B34" s="58" t="s">
        <v>47</v>
      </c>
      <c r="C34" s="98">
        <v>2740</v>
      </c>
      <c r="D34" s="98">
        <v>6120</v>
      </c>
      <c r="E34" s="98">
        <v>0</v>
      </c>
      <c r="F34" s="98">
        <v>0</v>
      </c>
      <c r="G34" s="99">
        <f t="shared" si="2"/>
        <v>0</v>
      </c>
      <c r="H34" s="98">
        <v>22</v>
      </c>
      <c r="I34" s="98">
        <v>449</v>
      </c>
      <c r="J34" s="98">
        <v>0</v>
      </c>
      <c r="K34" s="98">
        <v>0</v>
      </c>
      <c r="L34" s="99">
        <f t="shared" si="0"/>
        <v>0</v>
      </c>
      <c r="M34" s="98">
        <v>48680</v>
      </c>
      <c r="N34" s="98">
        <v>7116.94</v>
      </c>
      <c r="O34" s="98">
        <f>H34+C34+'ACP_PS_11(i)'!M34+'ACP_PS_11(i)'!H34+'ACP_PS_11(i)'!C34+ACP_MSME_10!C34+'ACP_Agri_9(ii)'!M34</f>
        <v>40040</v>
      </c>
      <c r="P34" s="98">
        <f>I34+D34+'ACP_PS_11(i)'!N34+'ACP_PS_11(i)'!I34+'ACP_PS_11(i)'!D34+ACP_MSME_10!D34+'ACP_Agri_9(ii)'!N34</f>
        <v>139086.83000000002</v>
      </c>
      <c r="Q34" s="98">
        <f>M34+J34+E34+'ACP_PS_11(i)'!O34+'ACP_PS_11(i)'!J34+'ACP_PS_11(i)'!E34+ACP_MSME_10!O34+'ACP_Agri_9(ii)'!O34</f>
        <v>170349</v>
      </c>
      <c r="R34" s="98">
        <f>N34+K34+F34+'ACP_PS_11(i)'!P34+'ACP_PS_11(i)'!K34+'ACP_PS_11(i)'!F34+ACP_MSME_10!P34+'ACP_Agri_9(ii)'!P34</f>
        <v>146698.1</v>
      </c>
      <c r="S34" s="99">
        <f t="shared" si="1"/>
        <v>105.47231538744536</v>
      </c>
      <c r="T34" s="110"/>
      <c r="U34" s="110"/>
    </row>
    <row r="35" spans="1:21">
      <c r="A35" s="57">
        <v>29</v>
      </c>
      <c r="B35" s="58" t="s">
        <v>214</v>
      </c>
      <c r="C35" s="98">
        <v>658</v>
      </c>
      <c r="D35" s="98">
        <v>706</v>
      </c>
      <c r="E35" s="98">
        <v>0</v>
      </c>
      <c r="F35" s="98">
        <v>0</v>
      </c>
      <c r="G35" s="99">
        <f t="shared" si="2"/>
        <v>0</v>
      </c>
      <c r="H35" s="98">
        <v>0</v>
      </c>
      <c r="I35" s="98">
        <v>0</v>
      </c>
      <c r="J35" s="98">
        <v>0</v>
      </c>
      <c r="K35" s="98">
        <v>0</v>
      </c>
      <c r="L35" s="99">
        <v>0</v>
      </c>
      <c r="M35" s="98">
        <v>0</v>
      </c>
      <c r="N35" s="98">
        <v>0</v>
      </c>
      <c r="O35" s="98">
        <f>H35+C35+'ACP_PS_11(i)'!M35+'ACP_PS_11(i)'!H35+'ACP_PS_11(i)'!C35+ACP_MSME_10!C35+'ACP_Agri_9(ii)'!M35</f>
        <v>1661</v>
      </c>
      <c r="P35" s="98">
        <f>I35+D35+'ACP_PS_11(i)'!N35+'ACP_PS_11(i)'!I35+'ACP_PS_11(i)'!D35+ACP_MSME_10!D35+'ACP_Agri_9(ii)'!N35</f>
        <v>2063.98</v>
      </c>
      <c r="Q35" s="98">
        <f>M35+J35+E35+'ACP_PS_11(i)'!O35+'ACP_PS_11(i)'!J35+'ACP_PS_11(i)'!E35+ACP_MSME_10!O35+'ACP_Agri_9(ii)'!O35</f>
        <v>137190</v>
      </c>
      <c r="R35" s="98">
        <f>N35+K35+F35+'ACP_PS_11(i)'!P35+'ACP_PS_11(i)'!K35+'ACP_PS_11(i)'!F35+ACP_MSME_10!P35+'ACP_Agri_9(ii)'!P35</f>
        <v>43724.76</v>
      </c>
      <c r="S35" s="99">
        <f t="shared" si="1"/>
        <v>2118.4682022112615</v>
      </c>
    </row>
    <row r="36" spans="1:21">
      <c r="A36" s="57">
        <v>30</v>
      </c>
      <c r="B36" s="58" t="s">
        <v>215</v>
      </c>
      <c r="C36" s="98">
        <v>0</v>
      </c>
      <c r="D36" s="98">
        <v>0</v>
      </c>
      <c r="E36" s="98">
        <v>0</v>
      </c>
      <c r="F36" s="98">
        <v>0</v>
      </c>
      <c r="G36" s="99">
        <v>0</v>
      </c>
      <c r="H36" s="98">
        <v>0</v>
      </c>
      <c r="I36" s="98">
        <v>0</v>
      </c>
      <c r="J36" s="98">
        <v>0</v>
      </c>
      <c r="K36" s="98">
        <v>0</v>
      </c>
      <c r="L36" s="99">
        <v>0</v>
      </c>
      <c r="M36" s="98">
        <v>0</v>
      </c>
      <c r="N36" s="98">
        <v>0</v>
      </c>
      <c r="O36" s="98">
        <f>H36+C36+'ACP_PS_11(i)'!M36+'ACP_PS_11(i)'!H36+'ACP_PS_11(i)'!C36+ACP_MSME_10!C36+'ACP_Agri_9(ii)'!M36</f>
        <v>0</v>
      </c>
      <c r="P36" s="98">
        <f>I36+D36+'ACP_PS_11(i)'!N36+'ACP_PS_11(i)'!I36+'ACP_PS_11(i)'!D36+ACP_MSME_10!D36+'ACP_Agri_9(ii)'!N36</f>
        <v>0</v>
      </c>
      <c r="Q36" s="98">
        <f>M36+J36+E36+'ACP_PS_11(i)'!O36+'ACP_PS_11(i)'!J36+'ACP_PS_11(i)'!E36+ACP_MSME_10!O36+'ACP_Agri_9(ii)'!O36</f>
        <v>0</v>
      </c>
      <c r="R36" s="98">
        <f>N36+K36+F36+'ACP_PS_11(i)'!P36+'ACP_PS_11(i)'!K36+'ACP_PS_11(i)'!F36+ACP_MSME_10!P36+'ACP_Agri_9(ii)'!P36</f>
        <v>0</v>
      </c>
      <c r="S36" s="99">
        <v>0</v>
      </c>
    </row>
    <row r="37" spans="1:21">
      <c r="A37" s="57">
        <v>31</v>
      </c>
      <c r="B37" s="58" t="s">
        <v>78</v>
      </c>
      <c r="C37" s="98">
        <v>0</v>
      </c>
      <c r="D37" s="98">
        <v>0</v>
      </c>
      <c r="E37" s="98">
        <v>0</v>
      </c>
      <c r="F37" s="98">
        <v>0</v>
      </c>
      <c r="G37" s="99">
        <v>0</v>
      </c>
      <c r="H37" s="98">
        <v>0</v>
      </c>
      <c r="I37" s="98">
        <v>0</v>
      </c>
      <c r="J37" s="98">
        <v>0</v>
      </c>
      <c r="K37" s="98">
        <v>0</v>
      </c>
      <c r="L37" s="99">
        <v>0</v>
      </c>
      <c r="M37" s="98">
        <v>0</v>
      </c>
      <c r="N37" s="98">
        <v>0</v>
      </c>
      <c r="O37" s="98">
        <f>H37+C37+'ACP_PS_11(i)'!M37+'ACP_PS_11(i)'!H37+'ACP_PS_11(i)'!C37+ACP_MSME_10!C37+'ACP_Agri_9(ii)'!M37</f>
        <v>0</v>
      </c>
      <c r="P37" s="98">
        <f>I37+D37+'ACP_PS_11(i)'!N37+'ACP_PS_11(i)'!I37+'ACP_PS_11(i)'!D37+ACP_MSME_10!D37+'ACP_Agri_9(ii)'!N37</f>
        <v>0</v>
      </c>
      <c r="Q37" s="98">
        <f>M37+J37+E37+'ACP_PS_11(i)'!O37+'ACP_PS_11(i)'!J37+'ACP_PS_11(i)'!E37+ACP_MSME_10!O37+'ACP_Agri_9(ii)'!O37</f>
        <v>0</v>
      </c>
      <c r="R37" s="98">
        <f>N37+K37+F37+'ACP_PS_11(i)'!P37+'ACP_PS_11(i)'!K37+'ACP_PS_11(i)'!F37+ACP_MSME_10!P37+'ACP_Agri_9(ii)'!P37</f>
        <v>0</v>
      </c>
      <c r="S37" s="99">
        <v>0</v>
      </c>
    </row>
    <row r="38" spans="1:21">
      <c r="A38" s="57">
        <v>32</v>
      </c>
      <c r="B38" s="58" t="s">
        <v>51</v>
      </c>
      <c r="C38" s="98">
        <v>14</v>
      </c>
      <c r="D38" s="98">
        <v>38</v>
      </c>
      <c r="E38" s="98">
        <v>0</v>
      </c>
      <c r="F38" s="98">
        <v>0</v>
      </c>
      <c r="G38" s="99">
        <f t="shared" ref="G38:G43" si="4">F38*100/D38</f>
        <v>0</v>
      </c>
      <c r="H38" s="98">
        <v>4</v>
      </c>
      <c r="I38" s="98">
        <v>3</v>
      </c>
      <c r="J38" s="98">
        <v>0</v>
      </c>
      <c r="K38" s="98">
        <v>0</v>
      </c>
      <c r="L38" s="99">
        <f t="shared" si="0"/>
        <v>0</v>
      </c>
      <c r="M38" s="98">
        <v>0</v>
      </c>
      <c r="N38" s="98">
        <v>0</v>
      </c>
      <c r="O38" s="98">
        <f>H38+C38+'ACP_PS_11(i)'!M38+'ACP_PS_11(i)'!H38+'ACP_PS_11(i)'!C38+ACP_MSME_10!C38+'ACP_Agri_9(ii)'!M38</f>
        <v>204</v>
      </c>
      <c r="P38" s="98">
        <f>I38+D38+'ACP_PS_11(i)'!N38+'ACP_PS_11(i)'!I38+'ACP_PS_11(i)'!D38+ACP_MSME_10!D38+'ACP_Agri_9(ii)'!N38</f>
        <v>1030</v>
      </c>
      <c r="Q38" s="98">
        <f>M38+J38+E38+'ACP_PS_11(i)'!O38+'ACP_PS_11(i)'!J38+'ACP_PS_11(i)'!E38+ACP_MSME_10!O38+'ACP_Agri_9(ii)'!O38</f>
        <v>21</v>
      </c>
      <c r="R38" s="98">
        <f>N38+K38+F38+'ACP_PS_11(i)'!P38+'ACP_PS_11(i)'!K38+'ACP_PS_11(i)'!F38+ACP_MSME_10!P38+'ACP_Agri_9(ii)'!P38</f>
        <v>466.40000000000003</v>
      </c>
      <c r="S38" s="99">
        <f t="shared" si="1"/>
        <v>45.28155339805825</v>
      </c>
    </row>
    <row r="39" spans="1:21">
      <c r="A39" s="57">
        <v>33</v>
      </c>
      <c r="B39" s="58" t="s">
        <v>216</v>
      </c>
      <c r="C39" s="98">
        <v>38</v>
      </c>
      <c r="D39" s="98">
        <v>259</v>
      </c>
      <c r="E39" s="98">
        <v>0</v>
      </c>
      <c r="F39" s="98">
        <v>0</v>
      </c>
      <c r="G39" s="99">
        <f t="shared" si="4"/>
        <v>0</v>
      </c>
      <c r="H39" s="98">
        <v>2</v>
      </c>
      <c r="I39" s="98">
        <v>2</v>
      </c>
      <c r="J39" s="98">
        <v>1</v>
      </c>
      <c r="K39" s="98">
        <v>1.63</v>
      </c>
      <c r="L39" s="99">
        <f t="shared" si="0"/>
        <v>81.5</v>
      </c>
      <c r="M39" s="98">
        <v>0</v>
      </c>
      <c r="N39" s="98">
        <v>0</v>
      </c>
      <c r="O39" s="98">
        <f>H39+C39+'ACP_PS_11(i)'!M39+'ACP_PS_11(i)'!H39+'ACP_PS_11(i)'!C39+ACP_MSME_10!C39+'ACP_Agri_9(ii)'!M39</f>
        <v>497</v>
      </c>
      <c r="P39" s="98">
        <f>I39+D39+'ACP_PS_11(i)'!N39+'ACP_PS_11(i)'!I39+'ACP_PS_11(i)'!D39+ACP_MSME_10!D39+'ACP_Agri_9(ii)'!N39</f>
        <v>1498.08</v>
      </c>
      <c r="Q39" s="98">
        <f>M39+J39+E39+'ACP_PS_11(i)'!O39+'ACP_PS_11(i)'!J39+'ACP_PS_11(i)'!E39+ACP_MSME_10!O39+'ACP_Agri_9(ii)'!O39</f>
        <v>15381</v>
      </c>
      <c r="R39" s="98">
        <f>N39+K39+F39+'ACP_PS_11(i)'!P39+'ACP_PS_11(i)'!K39+'ACP_PS_11(i)'!F39+ACP_MSME_10!P39+'ACP_Agri_9(ii)'!P39</f>
        <v>38962.130000000005</v>
      </c>
      <c r="S39" s="99">
        <f t="shared" si="1"/>
        <v>2600.8043629178687</v>
      </c>
    </row>
    <row r="40" spans="1:21">
      <c r="A40" s="57">
        <v>34</v>
      </c>
      <c r="B40" s="58" t="s">
        <v>217</v>
      </c>
      <c r="C40" s="98">
        <v>41</v>
      </c>
      <c r="D40" s="98">
        <v>98</v>
      </c>
      <c r="E40" s="98">
        <v>0</v>
      </c>
      <c r="F40" s="98">
        <v>0</v>
      </c>
      <c r="G40" s="99">
        <f t="shared" si="4"/>
        <v>0</v>
      </c>
      <c r="H40" s="98">
        <v>1</v>
      </c>
      <c r="I40" s="98">
        <v>3</v>
      </c>
      <c r="J40" s="98">
        <v>0</v>
      </c>
      <c r="K40" s="98">
        <v>0</v>
      </c>
      <c r="L40" s="99">
        <f t="shared" si="0"/>
        <v>0</v>
      </c>
      <c r="M40" s="98">
        <v>0</v>
      </c>
      <c r="N40" s="98">
        <v>0</v>
      </c>
      <c r="O40" s="98">
        <f>H40+C40+'ACP_PS_11(i)'!M40+'ACP_PS_11(i)'!H40+'ACP_PS_11(i)'!C40+ACP_MSME_10!C40+'ACP_Agri_9(ii)'!M40</f>
        <v>340</v>
      </c>
      <c r="P40" s="98">
        <f>I40+D40+'ACP_PS_11(i)'!N40+'ACP_PS_11(i)'!I40+'ACP_PS_11(i)'!D40+ACP_MSME_10!D40+'ACP_Agri_9(ii)'!N40</f>
        <v>1337.06</v>
      </c>
      <c r="Q40" s="98">
        <f>M40+J40+E40+'ACP_PS_11(i)'!O40+'ACP_PS_11(i)'!J40+'ACP_PS_11(i)'!E40+ACP_MSME_10!O40+'ACP_Agri_9(ii)'!O40</f>
        <v>0</v>
      </c>
      <c r="R40" s="98">
        <f>N40+K40+F40+'ACP_PS_11(i)'!P40+'ACP_PS_11(i)'!K40+'ACP_PS_11(i)'!F40+ACP_MSME_10!P40+'ACP_Agri_9(ii)'!P40</f>
        <v>0</v>
      </c>
      <c r="S40" s="99">
        <f t="shared" si="1"/>
        <v>0</v>
      </c>
    </row>
    <row r="41" spans="1:21">
      <c r="A41" s="57">
        <v>35</v>
      </c>
      <c r="B41" s="58" t="s">
        <v>218</v>
      </c>
      <c r="C41" s="98">
        <v>107</v>
      </c>
      <c r="D41" s="98">
        <v>304</v>
      </c>
      <c r="E41" s="98">
        <v>0</v>
      </c>
      <c r="F41" s="98">
        <v>0</v>
      </c>
      <c r="G41" s="99">
        <f t="shared" si="4"/>
        <v>0</v>
      </c>
      <c r="H41" s="98">
        <v>4</v>
      </c>
      <c r="I41" s="98">
        <v>5</v>
      </c>
      <c r="J41" s="98">
        <v>0</v>
      </c>
      <c r="K41" s="98">
        <v>0</v>
      </c>
      <c r="L41" s="99">
        <f t="shared" si="0"/>
        <v>0</v>
      </c>
      <c r="M41" s="98">
        <v>13</v>
      </c>
      <c r="N41" s="98">
        <v>7</v>
      </c>
      <c r="O41" s="98">
        <f>H41+C41+'ACP_PS_11(i)'!M41+'ACP_PS_11(i)'!H41+'ACP_PS_11(i)'!C41+ACP_MSME_10!C41+'ACP_Agri_9(ii)'!M41</f>
        <v>1734</v>
      </c>
      <c r="P41" s="98">
        <f>I41+D41+'ACP_PS_11(i)'!N41+'ACP_PS_11(i)'!I41+'ACP_PS_11(i)'!D41+ACP_MSME_10!D41+'ACP_Agri_9(ii)'!N41</f>
        <v>6964.8899999999994</v>
      </c>
      <c r="Q41" s="98">
        <f>M41+J41+E41+'ACP_PS_11(i)'!O41+'ACP_PS_11(i)'!J41+'ACP_PS_11(i)'!E41+ACP_MSME_10!O41+'ACP_Agri_9(ii)'!O41</f>
        <v>3529</v>
      </c>
      <c r="R41" s="98">
        <f>N41+K41+F41+'ACP_PS_11(i)'!P41+'ACP_PS_11(i)'!K41+'ACP_PS_11(i)'!F41+ACP_MSME_10!P41+'ACP_Agri_9(ii)'!P41</f>
        <v>9596</v>
      </c>
      <c r="S41" s="99">
        <f t="shared" si="1"/>
        <v>137.77676316496027</v>
      </c>
    </row>
    <row r="42" spans="1:21">
      <c r="A42" s="57">
        <v>36</v>
      </c>
      <c r="B42" s="58" t="s">
        <v>71</v>
      </c>
      <c r="C42" s="98">
        <v>3710</v>
      </c>
      <c r="D42" s="98">
        <v>6990</v>
      </c>
      <c r="E42" s="98">
        <v>0</v>
      </c>
      <c r="F42" s="98">
        <v>0</v>
      </c>
      <c r="G42" s="99">
        <f t="shared" si="4"/>
        <v>0</v>
      </c>
      <c r="H42" s="98">
        <v>142</v>
      </c>
      <c r="I42" s="98">
        <v>818</v>
      </c>
      <c r="J42" s="98">
        <v>2</v>
      </c>
      <c r="K42" s="98">
        <v>150</v>
      </c>
      <c r="L42" s="99">
        <f t="shared" si="0"/>
        <v>18.337408312958434</v>
      </c>
      <c r="M42" s="98">
        <v>27</v>
      </c>
      <c r="N42" s="98">
        <v>12.37</v>
      </c>
      <c r="O42" s="98">
        <f>H42+C42+'ACP_PS_11(i)'!M42+'ACP_PS_11(i)'!H42+'ACP_PS_11(i)'!C42+ACP_MSME_10!C42+'ACP_Agri_9(ii)'!M42</f>
        <v>53865</v>
      </c>
      <c r="P42" s="98">
        <f>I42+D42+'ACP_PS_11(i)'!N42+'ACP_PS_11(i)'!I42+'ACP_PS_11(i)'!D42+ACP_MSME_10!D42+'ACP_Agri_9(ii)'!N42</f>
        <v>215681.58000000002</v>
      </c>
      <c r="Q42" s="98">
        <f>M42+J42+E42+'ACP_PS_11(i)'!O42+'ACP_PS_11(i)'!J42+'ACP_PS_11(i)'!E42+ACP_MSME_10!O42+'ACP_Agri_9(ii)'!O42</f>
        <v>139990</v>
      </c>
      <c r="R42" s="98">
        <f>N42+K42+F42+'ACP_PS_11(i)'!P42+'ACP_PS_11(i)'!K42+'ACP_PS_11(i)'!F42+ACP_MSME_10!P42+'ACP_Agri_9(ii)'!P42</f>
        <v>395756.08999999997</v>
      </c>
      <c r="S42" s="99">
        <f t="shared" si="1"/>
        <v>183.49090821756775</v>
      </c>
    </row>
    <row r="43" spans="1:21">
      <c r="A43" s="57">
        <v>37</v>
      </c>
      <c r="B43" s="58" t="s">
        <v>72</v>
      </c>
      <c r="C43" s="98">
        <v>9270</v>
      </c>
      <c r="D43" s="98">
        <v>17252</v>
      </c>
      <c r="E43" s="98">
        <v>0</v>
      </c>
      <c r="F43" s="98">
        <v>0</v>
      </c>
      <c r="G43" s="99">
        <f t="shared" si="4"/>
        <v>0</v>
      </c>
      <c r="H43" s="98">
        <v>144</v>
      </c>
      <c r="I43" s="98">
        <v>910</v>
      </c>
      <c r="J43" s="98">
        <v>1</v>
      </c>
      <c r="K43" s="98">
        <v>1071</v>
      </c>
      <c r="L43" s="99">
        <f t="shared" si="0"/>
        <v>117.69230769230769</v>
      </c>
      <c r="M43" s="98">
        <v>1365</v>
      </c>
      <c r="N43" s="98">
        <v>165</v>
      </c>
      <c r="O43" s="98">
        <f>H43+C43+'ACP_PS_11(i)'!M43+'ACP_PS_11(i)'!H43+'ACP_PS_11(i)'!C43+ACP_MSME_10!C43+'ACP_Agri_9(ii)'!M43</f>
        <v>60123</v>
      </c>
      <c r="P43" s="98">
        <f>I43+D43+'ACP_PS_11(i)'!N43+'ACP_PS_11(i)'!I43+'ACP_PS_11(i)'!D43+ACP_MSME_10!D43+'ACP_Agri_9(ii)'!N43</f>
        <v>215822.41</v>
      </c>
      <c r="Q43" s="98">
        <f>M43+J43+E43+'ACP_PS_11(i)'!O43+'ACP_PS_11(i)'!J43+'ACP_PS_11(i)'!E43+ACP_MSME_10!O43+'ACP_Agri_9(ii)'!O43</f>
        <v>106448</v>
      </c>
      <c r="R43" s="98">
        <f>N43+K43+F43+'ACP_PS_11(i)'!P43+'ACP_PS_11(i)'!K43+'ACP_PS_11(i)'!F43+ACP_MSME_10!P43+'ACP_Agri_9(ii)'!P43</f>
        <v>461896</v>
      </c>
      <c r="S43" s="99">
        <f t="shared" si="1"/>
        <v>214.01670011932495</v>
      </c>
    </row>
    <row r="44" spans="1:21">
      <c r="A44" s="57">
        <v>38</v>
      </c>
      <c r="B44" s="58" t="s">
        <v>219</v>
      </c>
      <c r="C44" s="98">
        <v>0</v>
      </c>
      <c r="D44" s="98">
        <v>0</v>
      </c>
      <c r="E44" s="98">
        <v>0</v>
      </c>
      <c r="F44" s="98">
        <v>0</v>
      </c>
      <c r="G44" s="99">
        <v>0</v>
      </c>
      <c r="H44" s="98">
        <v>0</v>
      </c>
      <c r="I44" s="98">
        <v>0</v>
      </c>
      <c r="J44" s="98">
        <v>0</v>
      </c>
      <c r="K44" s="98">
        <v>0</v>
      </c>
      <c r="L44" s="99">
        <v>0</v>
      </c>
      <c r="M44" s="98">
        <v>32</v>
      </c>
      <c r="N44" s="98">
        <v>3.4750000000000001</v>
      </c>
      <c r="O44" s="98">
        <f>H44+C44+'ACP_PS_11(i)'!M44+'ACP_PS_11(i)'!H44+'ACP_PS_11(i)'!C44+ACP_MSME_10!C44+'ACP_Agri_9(ii)'!M44</f>
        <v>0</v>
      </c>
      <c r="P44" s="98">
        <f>I44+D44+'ACP_PS_11(i)'!N44+'ACP_PS_11(i)'!I44+'ACP_PS_11(i)'!D44+ACP_MSME_10!D44+'ACP_Agri_9(ii)'!N44</f>
        <v>0</v>
      </c>
      <c r="Q44" s="98">
        <f>M44+J44+E44+'ACP_PS_11(i)'!O44+'ACP_PS_11(i)'!J44+'ACP_PS_11(i)'!E44+ACP_MSME_10!O44+'ACP_Agri_9(ii)'!O44</f>
        <v>148952</v>
      </c>
      <c r="R44" s="98">
        <f>N44+K44+F44+'ACP_PS_11(i)'!P44+'ACP_PS_11(i)'!K44+'ACP_PS_11(i)'!F44+ACP_MSME_10!P44+'ACP_Agri_9(ii)'!P44</f>
        <v>26480.303</v>
      </c>
      <c r="S44" s="99">
        <v>0</v>
      </c>
    </row>
    <row r="45" spans="1:21">
      <c r="A45" s="57">
        <v>39</v>
      </c>
      <c r="B45" s="58" t="s">
        <v>220</v>
      </c>
      <c r="C45" s="98">
        <v>378</v>
      </c>
      <c r="D45" s="98">
        <v>1048</v>
      </c>
      <c r="E45" s="98">
        <v>0</v>
      </c>
      <c r="F45" s="98">
        <v>0</v>
      </c>
      <c r="G45" s="99">
        <f t="shared" ref="G45:G52" si="5">F45*100/D45</f>
        <v>0</v>
      </c>
      <c r="H45" s="98">
        <v>26</v>
      </c>
      <c r="I45" s="98">
        <v>111</v>
      </c>
      <c r="J45" s="98">
        <v>0</v>
      </c>
      <c r="K45" s="98">
        <v>0</v>
      </c>
      <c r="L45" s="99">
        <f t="shared" si="0"/>
        <v>0</v>
      </c>
      <c r="M45" s="98">
        <v>0</v>
      </c>
      <c r="N45" s="98">
        <v>0</v>
      </c>
      <c r="O45" s="98">
        <f>H45+C45+'ACP_PS_11(i)'!M45+'ACP_PS_11(i)'!H45+'ACP_PS_11(i)'!C45+ACP_MSME_10!C45+'ACP_Agri_9(ii)'!M45</f>
        <v>6950</v>
      </c>
      <c r="P45" s="98">
        <f>I45+D45+'ACP_PS_11(i)'!N45+'ACP_PS_11(i)'!I45+'ACP_PS_11(i)'!D45+ACP_MSME_10!D45+'ACP_Agri_9(ii)'!N45</f>
        <v>27452.73</v>
      </c>
      <c r="Q45" s="98">
        <f>M45+J45+E45+'ACP_PS_11(i)'!O45+'ACP_PS_11(i)'!J45+'ACP_PS_11(i)'!E45+ACP_MSME_10!O45+'ACP_Agri_9(ii)'!O45</f>
        <v>8507</v>
      </c>
      <c r="R45" s="98">
        <f>N45+K45+F45+'ACP_PS_11(i)'!P45+'ACP_PS_11(i)'!K45+'ACP_PS_11(i)'!F45+ACP_MSME_10!P45+'ACP_Agri_9(ii)'!P45</f>
        <v>39111.450000000004</v>
      </c>
      <c r="S45" s="99">
        <f t="shared" si="1"/>
        <v>142.46834467828884</v>
      </c>
    </row>
    <row r="46" spans="1:21">
      <c r="A46" s="57">
        <v>40</v>
      </c>
      <c r="B46" s="58" t="s">
        <v>221</v>
      </c>
      <c r="C46" s="98">
        <v>111</v>
      </c>
      <c r="D46" s="98">
        <v>302</v>
      </c>
      <c r="E46" s="98">
        <v>0</v>
      </c>
      <c r="F46" s="98">
        <v>0</v>
      </c>
      <c r="G46" s="99">
        <f t="shared" si="5"/>
        <v>0</v>
      </c>
      <c r="H46" s="98">
        <v>12</v>
      </c>
      <c r="I46" s="98">
        <v>51</v>
      </c>
      <c r="J46" s="98">
        <v>0</v>
      </c>
      <c r="K46" s="98">
        <v>0</v>
      </c>
      <c r="L46" s="99">
        <f t="shared" si="0"/>
        <v>0</v>
      </c>
      <c r="M46" s="98">
        <v>0</v>
      </c>
      <c r="N46" s="98">
        <v>0</v>
      </c>
      <c r="O46" s="98">
        <f>H46+C46+'ACP_PS_11(i)'!M46+'ACP_PS_11(i)'!H46+'ACP_PS_11(i)'!C46+ACP_MSME_10!C46+'ACP_Agri_9(ii)'!M46</f>
        <v>974</v>
      </c>
      <c r="P46" s="98">
        <f>I46+D46+'ACP_PS_11(i)'!N46+'ACP_PS_11(i)'!I46+'ACP_PS_11(i)'!D46+ACP_MSME_10!D46+'ACP_Agri_9(ii)'!N46</f>
        <v>4793.68</v>
      </c>
      <c r="Q46" s="98">
        <f>M46+J46+E46+'ACP_PS_11(i)'!O46+'ACP_PS_11(i)'!J46+'ACP_PS_11(i)'!E46+ACP_MSME_10!O46+'ACP_Agri_9(ii)'!O46</f>
        <v>99</v>
      </c>
      <c r="R46" s="98">
        <f>N46+K46+F46+'ACP_PS_11(i)'!P46+'ACP_PS_11(i)'!K46+'ACP_PS_11(i)'!F46+ACP_MSME_10!P46+'ACP_Agri_9(ii)'!P46</f>
        <v>1001</v>
      </c>
      <c r="S46" s="99">
        <f t="shared" si="1"/>
        <v>20.881660853457049</v>
      </c>
    </row>
    <row r="47" spans="1:21">
      <c r="A47" s="57">
        <v>41</v>
      </c>
      <c r="B47" s="58" t="s">
        <v>222</v>
      </c>
      <c r="C47" s="98">
        <v>133</v>
      </c>
      <c r="D47" s="98">
        <v>283</v>
      </c>
      <c r="E47" s="98">
        <v>0</v>
      </c>
      <c r="F47" s="98">
        <v>0</v>
      </c>
      <c r="G47" s="99">
        <f t="shared" si="5"/>
        <v>0</v>
      </c>
      <c r="H47" s="98">
        <v>14</v>
      </c>
      <c r="I47" s="98">
        <v>50</v>
      </c>
      <c r="J47" s="98">
        <v>0</v>
      </c>
      <c r="K47" s="98">
        <v>0</v>
      </c>
      <c r="L47" s="99">
        <f t="shared" si="0"/>
        <v>0</v>
      </c>
      <c r="M47" s="98">
        <v>77</v>
      </c>
      <c r="N47" s="98">
        <v>1518.56</v>
      </c>
      <c r="O47" s="98">
        <f>H47+C47+'ACP_PS_11(i)'!M47+'ACP_PS_11(i)'!H47+'ACP_PS_11(i)'!C47+ACP_MSME_10!C47+'ACP_Agri_9(ii)'!M47</f>
        <v>1673</v>
      </c>
      <c r="P47" s="98">
        <f>I47+D47+'ACP_PS_11(i)'!N47+'ACP_PS_11(i)'!I47+'ACP_PS_11(i)'!D47+ACP_MSME_10!D47+'ACP_Agri_9(ii)'!N47</f>
        <v>5936.02</v>
      </c>
      <c r="Q47" s="98">
        <f>M47+J47+E47+'ACP_PS_11(i)'!O47+'ACP_PS_11(i)'!J47+'ACP_PS_11(i)'!E47+ACP_MSME_10!O47+'ACP_Agri_9(ii)'!O47</f>
        <v>1484</v>
      </c>
      <c r="R47" s="98">
        <f>N47+K47+F47+'ACP_PS_11(i)'!P47+'ACP_PS_11(i)'!K47+'ACP_PS_11(i)'!F47+ACP_MSME_10!P47+'ACP_Agri_9(ii)'!P47</f>
        <v>12799.41</v>
      </c>
      <c r="S47" s="99">
        <f t="shared" si="1"/>
        <v>215.62275733572324</v>
      </c>
    </row>
    <row r="48" spans="1:21">
      <c r="A48" s="57">
        <v>42</v>
      </c>
      <c r="B48" s="58" t="s">
        <v>223</v>
      </c>
      <c r="C48" s="98">
        <v>126</v>
      </c>
      <c r="D48" s="98">
        <v>248</v>
      </c>
      <c r="E48" s="98">
        <v>0</v>
      </c>
      <c r="F48" s="98">
        <v>0</v>
      </c>
      <c r="G48" s="99">
        <f t="shared" si="5"/>
        <v>0</v>
      </c>
      <c r="H48" s="98">
        <v>11</v>
      </c>
      <c r="I48" s="98">
        <v>15</v>
      </c>
      <c r="J48" s="98">
        <v>0</v>
      </c>
      <c r="K48" s="98">
        <v>0</v>
      </c>
      <c r="L48" s="99">
        <f t="shared" si="0"/>
        <v>0</v>
      </c>
      <c r="M48" s="98">
        <v>0</v>
      </c>
      <c r="N48" s="98">
        <v>0</v>
      </c>
      <c r="O48" s="98">
        <f>H48+C48+'ACP_PS_11(i)'!M48+'ACP_PS_11(i)'!H48+'ACP_PS_11(i)'!C48+ACP_MSME_10!C48+'ACP_Agri_9(ii)'!M48</f>
        <v>453</v>
      </c>
      <c r="P48" s="98">
        <f>I48+D48+'ACP_PS_11(i)'!N48+'ACP_PS_11(i)'!I48+'ACP_PS_11(i)'!D48+ACP_MSME_10!D48+'ACP_Agri_9(ii)'!N48</f>
        <v>1892</v>
      </c>
      <c r="Q48" s="98">
        <f>M48+J48+E48+'ACP_PS_11(i)'!O48+'ACP_PS_11(i)'!J48+'ACP_PS_11(i)'!E48+ACP_MSME_10!O48+'ACP_Agri_9(ii)'!O48</f>
        <v>0</v>
      </c>
      <c r="R48" s="98">
        <f>N48+K48+F48+'ACP_PS_11(i)'!P48+'ACP_PS_11(i)'!K48+'ACP_PS_11(i)'!F48+ACP_MSME_10!P48+'ACP_Agri_9(ii)'!P48</f>
        <v>0</v>
      </c>
      <c r="S48" s="99">
        <f t="shared" si="1"/>
        <v>0</v>
      </c>
    </row>
    <row r="49" spans="1:21">
      <c r="A49" s="57">
        <v>43</v>
      </c>
      <c r="B49" s="58" t="s">
        <v>73</v>
      </c>
      <c r="C49" s="98">
        <v>204</v>
      </c>
      <c r="D49" s="98">
        <v>647</v>
      </c>
      <c r="E49" s="98">
        <v>0</v>
      </c>
      <c r="F49" s="98">
        <v>0</v>
      </c>
      <c r="G49" s="99">
        <f t="shared" si="5"/>
        <v>0</v>
      </c>
      <c r="H49" s="98">
        <v>14</v>
      </c>
      <c r="I49" s="98">
        <v>66</v>
      </c>
      <c r="J49" s="98">
        <v>0</v>
      </c>
      <c r="K49" s="98">
        <v>0</v>
      </c>
      <c r="L49" s="99">
        <f t="shared" si="0"/>
        <v>0</v>
      </c>
      <c r="M49" s="98">
        <v>96</v>
      </c>
      <c r="N49" s="98">
        <v>378</v>
      </c>
      <c r="O49" s="98">
        <f>H49+C49+'ACP_PS_11(i)'!M49+'ACP_PS_11(i)'!H49+'ACP_PS_11(i)'!C49+ACP_MSME_10!C49+'ACP_Agri_9(ii)'!M49</f>
        <v>9359</v>
      </c>
      <c r="P49" s="98">
        <f>I49+D49+'ACP_PS_11(i)'!N49+'ACP_PS_11(i)'!I49+'ACP_PS_11(i)'!D49+ACP_MSME_10!D49+'ACP_Agri_9(ii)'!N49</f>
        <v>43665.97</v>
      </c>
      <c r="Q49" s="98">
        <f>M49+J49+E49+'ACP_PS_11(i)'!O49+'ACP_PS_11(i)'!J49+'ACP_PS_11(i)'!E49+ACP_MSME_10!O49+'ACP_Agri_9(ii)'!O49</f>
        <v>21388</v>
      </c>
      <c r="R49" s="98">
        <f>N49+K49+F49+'ACP_PS_11(i)'!P49+'ACP_PS_11(i)'!K49+'ACP_PS_11(i)'!F49+ACP_MSME_10!P49+'ACP_Agri_9(ii)'!P49</f>
        <v>70920</v>
      </c>
      <c r="S49" s="99">
        <f t="shared" si="1"/>
        <v>162.41480493849099</v>
      </c>
    </row>
    <row r="50" spans="1:21">
      <c r="A50" s="57">
        <v>44</v>
      </c>
      <c r="B50" s="58" t="s">
        <v>224</v>
      </c>
      <c r="C50" s="98">
        <v>19</v>
      </c>
      <c r="D50" s="98">
        <v>54</v>
      </c>
      <c r="E50" s="98">
        <v>0</v>
      </c>
      <c r="F50" s="98">
        <v>0</v>
      </c>
      <c r="G50" s="99">
        <f t="shared" si="5"/>
        <v>0</v>
      </c>
      <c r="H50" s="98">
        <v>14</v>
      </c>
      <c r="I50" s="98">
        <v>5</v>
      </c>
      <c r="J50" s="98">
        <v>0</v>
      </c>
      <c r="K50" s="98">
        <v>0</v>
      </c>
      <c r="L50" s="99">
        <f t="shared" si="0"/>
        <v>0</v>
      </c>
      <c r="M50" s="98">
        <v>0</v>
      </c>
      <c r="N50" s="98">
        <v>0</v>
      </c>
      <c r="O50" s="98">
        <f>H50+C50+'ACP_PS_11(i)'!M50+'ACP_PS_11(i)'!H50+'ACP_PS_11(i)'!C50+ACP_MSME_10!C50+'ACP_Agri_9(ii)'!M50</f>
        <v>231</v>
      </c>
      <c r="P50" s="98">
        <f>I50+D50+'ACP_PS_11(i)'!N50+'ACP_PS_11(i)'!I50+'ACP_PS_11(i)'!D50+ACP_MSME_10!D50+'ACP_Agri_9(ii)'!N50</f>
        <v>1114</v>
      </c>
      <c r="Q50" s="98">
        <f>M50+J50+E50+'ACP_PS_11(i)'!O50+'ACP_PS_11(i)'!J50+'ACP_PS_11(i)'!E50+ACP_MSME_10!O50+'ACP_Agri_9(ii)'!O50</f>
        <v>0</v>
      </c>
      <c r="R50" s="98">
        <f>N50+K50+F50+'ACP_PS_11(i)'!P50+'ACP_PS_11(i)'!K50+'ACP_PS_11(i)'!F50+ACP_MSME_10!P50+'ACP_Agri_9(ii)'!P50</f>
        <v>0</v>
      </c>
      <c r="S50" s="99">
        <f t="shared" si="1"/>
        <v>0</v>
      </c>
    </row>
    <row r="51" spans="1:21">
      <c r="A51" s="57">
        <v>45</v>
      </c>
      <c r="B51" s="58" t="s">
        <v>225</v>
      </c>
      <c r="C51" s="98">
        <v>32</v>
      </c>
      <c r="D51" s="98">
        <v>165</v>
      </c>
      <c r="E51" s="98">
        <v>0</v>
      </c>
      <c r="F51" s="98">
        <v>0</v>
      </c>
      <c r="G51" s="99">
        <f t="shared" si="5"/>
        <v>0</v>
      </c>
      <c r="H51" s="98">
        <v>12</v>
      </c>
      <c r="I51" s="98">
        <v>4</v>
      </c>
      <c r="J51" s="98">
        <v>0</v>
      </c>
      <c r="K51" s="98">
        <v>0</v>
      </c>
      <c r="L51" s="99">
        <f t="shared" si="0"/>
        <v>0</v>
      </c>
      <c r="M51" s="98">
        <v>76583</v>
      </c>
      <c r="N51" s="98">
        <v>17844</v>
      </c>
      <c r="O51" s="98">
        <f>H51+C51+'ACP_PS_11(i)'!M51+'ACP_PS_11(i)'!H51+'ACP_PS_11(i)'!C51+ACP_MSME_10!C51+'ACP_Agri_9(ii)'!M51</f>
        <v>719</v>
      </c>
      <c r="P51" s="98">
        <f>I51+D51+'ACP_PS_11(i)'!N51+'ACP_PS_11(i)'!I51+'ACP_PS_11(i)'!D51+ACP_MSME_10!D51+'ACP_Agri_9(ii)'!N51</f>
        <v>1935.51</v>
      </c>
      <c r="Q51" s="98">
        <f>M51+J51+E51+'ACP_PS_11(i)'!O51+'ACP_PS_11(i)'!J51+'ACP_PS_11(i)'!E51+ACP_MSME_10!O51+'ACP_Agri_9(ii)'!O51</f>
        <v>100177</v>
      </c>
      <c r="R51" s="98">
        <f>N51+K51+F51+'ACP_PS_11(i)'!P51+'ACP_PS_11(i)'!K51+'ACP_PS_11(i)'!F51+ACP_MSME_10!P51+'ACP_Agri_9(ii)'!P51</f>
        <v>56452</v>
      </c>
      <c r="S51" s="99">
        <f t="shared" si="1"/>
        <v>2916.6472919282255</v>
      </c>
    </row>
    <row r="52" spans="1:21" s="107" customFormat="1">
      <c r="A52" s="57">
        <v>46</v>
      </c>
      <c r="B52" s="58" t="s">
        <v>226</v>
      </c>
      <c r="C52" s="98">
        <v>63</v>
      </c>
      <c r="D52" s="98">
        <v>167</v>
      </c>
      <c r="E52" s="98">
        <v>0</v>
      </c>
      <c r="F52" s="98">
        <v>0</v>
      </c>
      <c r="G52" s="99">
        <f t="shared" si="5"/>
        <v>0</v>
      </c>
      <c r="H52" s="98">
        <v>12</v>
      </c>
      <c r="I52" s="98">
        <v>32</v>
      </c>
      <c r="J52" s="98">
        <v>0</v>
      </c>
      <c r="K52" s="98">
        <v>0</v>
      </c>
      <c r="L52" s="99">
        <f t="shared" si="0"/>
        <v>0</v>
      </c>
      <c r="M52" s="98">
        <v>0</v>
      </c>
      <c r="N52" s="98">
        <v>0</v>
      </c>
      <c r="O52" s="98">
        <f>H52+C52+'ACP_PS_11(i)'!M52+'ACP_PS_11(i)'!H52+'ACP_PS_11(i)'!C52+ACP_MSME_10!C52+'ACP_Agri_9(ii)'!M52</f>
        <v>593</v>
      </c>
      <c r="P52" s="98">
        <f>I52+D52+'ACP_PS_11(i)'!N52+'ACP_PS_11(i)'!I52+'ACP_PS_11(i)'!D52+ACP_MSME_10!D52+'ACP_Agri_9(ii)'!N52</f>
        <v>2565.06</v>
      </c>
      <c r="Q52" s="98">
        <f>M52+J52+E52+'ACP_PS_11(i)'!O52+'ACP_PS_11(i)'!J52+'ACP_PS_11(i)'!E52+ACP_MSME_10!O52+'ACP_Agri_9(ii)'!O52</f>
        <v>0</v>
      </c>
      <c r="R52" s="98">
        <f>N52+K52+F52+'ACP_PS_11(i)'!P52+'ACP_PS_11(i)'!K52+'ACP_PS_11(i)'!F52+ACP_MSME_10!P52+'ACP_Agri_9(ii)'!P52</f>
        <v>0</v>
      </c>
      <c r="S52" s="99">
        <f t="shared" si="1"/>
        <v>0</v>
      </c>
      <c r="T52" s="110"/>
      <c r="U52" s="110"/>
    </row>
    <row r="53" spans="1:21">
      <c r="A53" s="57">
        <v>47</v>
      </c>
      <c r="B53" s="58" t="s">
        <v>77</v>
      </c>
      <c r="C53" s="98">
        <v>0</v>
      </c>
      <c r="D53" s="98">
        <v>0</v>
      </c>
      <c r="E53" s="98">
        <v>0</v>
      </c>
      <c r="F53" s="98">
        <v>0</v>
      </c>
      <c r="G53" s="99">
        <v>0</v>
      </c>
      <c r="H53" s="98">
        <v>0</v>
      </c>
      <c r="I53" s="98">
        <v>0</v>
      </c>
      <c r="J53" s="98">
        <v>0</v>
      </c>
      <c r="K53" s="98">
        <v>0</v>
      </c>
      <c r="L53" s="99">
        <v>0</v>
      </c>
      <c r="M53" s="98">
        <v>0</v>
      </c>
      <c r="N53" s="98">
        <v>0</v>
      </c>
      <c r="O53" s="98">
        <f>H53+C53+'ACP_PS_11(i)'!M53+'ACP_PS_11(i)'!H53+'ACP_PS_11(i)'!C53+ACP_MSME_10!C53+'ACP_Agri_9(ii)'!M53</f>
        <v>0</v>
      </c>
      <c r="P53" s="98">
        <f>I53+D53+'ACP_PS_11(i)'!N53+'ACP_PS_11(i)'!I53+'ACP_PS_11(i)'!D53+ACP_MSME_10!D53+'ACP_Agri_9(ii)'!N53</f>
        <v>0</v>
      </c>
      <c r="Q53" s="98">
        <f>M53+J53+E53+'ACP_PS_11(i)'!O53+'ACP_PS_11(i)'!J53+'ACP_PS_11(i)'!E53+ACP_MSME_10!O53+'ACP_Agri_9(ii)'!O53</f>
        <v>0</v>
      </c>
      <c r="R53" s="98">
        <f>N53+K53+F53+'ACP_PS_11(i)'!P53+'ACP_PS_11(i)'!K53+'ACP_PS_11(i)'!F53+ACP_MSME_10!P53+'ACP_Agri_9(ii)'!P53</f>
        <v>0</v>
      </c>
      <c r="S53" s="99">
        <v>0</v>
      </c>
    </row>
    <row r="54" spans="1:21">
      <c r="A54" s="57">
        <v>48</v>
      </c>
      <c r="B54" s="58" t="s">
        <v>227</v>
      </c>
      <c r="C54" s="98">
        <v>0</v>
      </c>
      <c r="D54" s="98">
        <v>0</v>
      </c>
      <c r="E54" s="98">
        <v>0</v>
      </c>
      <c r="F54" s="98">
        <v>0</v>
      </c>
      <c r="G54" s="99">
        <v>0</v>
      </c>
      <c r="H54" s="98">
        <v>0</v>
      </c>
      <c r="I54" s="98">
        <v>0</v>
      </c>
      <c r="J54" s="98">
        <v>0</v>
      </c>
      <c r="K54" s="98">
        <v>0</v>
      </c>
      <c r="L54" s="99">
        <v>0</v>
      </c>
      <c r="M54" s="98">
        <v>0</v>
      </c>
      <c r="N54" s="98">
        <v>0</v>
      </c>
      <c r="O54" s="98">
        <f>H54+C54+'ACP_PS_11(i)'!M54+'ACP_PS_11(i)'!H54+'ACP_PS_11(i)'!C54+ACP_MSME_10!C54+'ACP_Agri_9(ii)'!M54</f>
        <v>0</v>
      </c>
      <c r="P54" s="98">
        <f>I54+D54+'ACP_PS_11(i)'!N54+'ACP_PS_11(i)'!I54+'ACP_PS_11(i)'!D54+ACP_MSME_10!D54+'ACP_Agri_9(ii)'!N54</f>
        <v>0</v>
      </c>
      <c r="Q54" s="98">
        <f>M54+J54+E54+'ACP_PS_11(i)'!O54+'ACP_PS_11(i)'!J54+'ACP_PS_11(i)'!E54+ACP_MSME_10!O54+'ACP_Agri_9(ii)'!O54</f>
        <v>0</v>
      </c>
      <c r="R54" s="98">
        <f>N54+K54+F54+'ACP_PS_11(i)'!P54+'ACP_PS_11(i)'!K54+'ACP_PS_11(i)'!F54+ACP_MSME_10!P54+'ACP_Agri_9(ii)'!P54</f>
        <v>0</v>
      </c>
      <c r="S54" s="99">
        <v>0</v>
      </c>
    </row>
    <row r="55" spans="1:21">
      <c r="A55" s="57">
        <v>49</v>
      </c>
      <c r="B55" s="58" t="s">
        <v>76</v>
      </c>
      <c r="C55" s="98">
        <v>104</v>
      </c>
      <c r="D55" s="98">
        <v>626</v>
      </c>
      <c r="E55" s="98">
        <v>0</v>
      </c>
      <c r="F55" s="98">
        <v>0</v>
      </c>
      <c r="G55" s="99">
        <f t="shared" ref="G55:G63" si="6">F55*100/D55</f>
        <v>0</v>
      </c>
      <c r="H55" s="98">
        <v>14</v>
      </c>
      <c r="I55" s="98">
        <v>63</v>
      </c>
      <c r="J55" s="98">
        <v>0</v>
      </c>
      <c r="K55" s="98">
        <v>0</v>
      </c>
      <c r="L55" s="99">
        <f t="shared" si="0"/>
        <v>0</v>
      </c>
      <c r="M55" s="98">
        <v>11</v>
      </c>
      <c r="N55" s="98">
        <v>3.48</v>
      </c>
      <c r="O55" s="98">
        <f>H55+C55+'ACP_PS_11(i)'!M55+'ACP_PS_11(i)'!H55+'ACP_PS_11(i)'!C55+ACP_MSME_10!C55+'ACP_Agri_9(ii)'!M55</f>
        <v>2728</v>
      </c>
      <c r="P55" s="98">
        <f>I55+D55+'ACP_PS_11(i)'!N55+'ACP_PS_11(i)'!I55+'ACP_PS_11(i)'!D55+ACP_MSME_10!D55+'ACP_Agri_9(ii)'!N55</f>
        <v>10184.06</v>
      </c>
      <c r="Q55" s="98">
        <f>M55+J55+E55+'ACP_PS_11(i)'!O55+'ACP_PS_11(i)'!J55+'ACP_PS_11(i)'!E55+ACP_MSME_10!O55+'ACP_Agri_9(ii)'!O55</f>
        <v>6847</v>
      </c>
      <c r="R55" s="98">
        <f>N55+K55+F55+'ACP_PS_11(i)'!P55+'ACP_PS_11(i)'!K55+'ACP_PS_11(i)'!F55+ACP_MSME_10!P55+'ACP_Agri_9(ii)'!P55</f>
        <v>18723.34</v>
      </c>
      <c r="S55" s="99">
        <f t="shared" si="1"/>
        <v>183.84946671563208</v>
      </c>
    </row>
    <row r="56" spans="1:21" s="107" customFormat="1">
      <c r="A56" s="324"/>
      <c r="B56" s="59" t="s">
        <v>287</v>
      </c>
      <c r="C56" s="105">
        <f>SUM(C34:C55)</f>
        <v>17748</v>
      </c>
      <c r="D56" s="105">
        <f t="shared" ref="D56:N56" si="7">SUM(D34:D55)</f>
        <v>35307</v>
      </c>
      <c r="E56" s="105">
        <f t="shared" si="7"/>
        <v>0</v>
      </c>
      <c r="F56" s="105">
        <f t="shared" si="7"/>
        <v>0</v>
      </c>
      <c r="G56" s="96">
        <f t="shared" si="6"/>
        <v>0</v>
      </c>
      <c r="H56" s="105">
        <f t="shared" si="7"/>
        <v>448</v>
      </c>
      <c r="I56" s="105">
        <f t="shared" si="7"/>
        <v>2587</v>
      </c>
      <c r="J56" s="105">
        <f t="shared" si="7"/>
        <v>4</v>
      </c>
      <c r="K56" s="105">
        <f t="shared" si="7"/>
        <v>1222.6300000000001</v>
      </c>
      <c r="L56" s="96">
        <f t="shared" si="0"/>
        <v>47.260533436412842</v>
      </c>
      <c r="M56" s="105">
        <f t="shared" si="7"/>
        <v>126884</v>
      </c>
      <c r="N56" s="105">
        <f t="shared" si="7"/>
        <v>27048.825000000001</v>
      </c>
      <c r="O56" s="105">
        <f>H56+C56+'ACP_PS_11(i)'!M56+'ACP_PS_11(i)'!H56+'ACP_PS_11(i)'!C56+ACP_MSME_10!C56+'ACP_Agri_9(ii)'!M56</f>
        <v>182144</v>
      </c>
      <c r="P56" s="105">
        <f>I56+D56+'ACP_PS_11(i)'!N56+'ACP_PS_11(i)'!I56+'ACP_PS_11(i)'!D56+ACP_MSME_10!D56+'ACP_Agri_9(ii)'!N56</f>
        <v>683023.86</v>
      </c>
      <c r="Q56" s="105">
        <f>M56+J56+E56+'ACP_PS_11(i)'!O56+'ACP_PS_11(i)'!J56+'ACP_PS_11(i)'!E56+ACP_MSME_10!O56+'ACP_Agri_9(ii)'!O56</f>
        <v>860362</v>
      </c>
      <c r="R56" s="105">
        <f>N56+K56+F56+'ACP_PS_11(i)'!P56+'ACP_PS_11(i)'!K56+'ACP_PS_11(i)'!F56+ACP_MSME_10!P56+'ACP_Agri_9(ii)'!P56</f>
        <v>1322586.983</v>
      </c>
      <c r="S56" s="96">
        <f t="shared" si="1"/>
        <v>193.63701042596082</v>
      </c>
      <c r="T56" s="110"/>
      <c r="U56" s="110"/>
    </row>
    <row r="57" spans="1:21">
      <c r="A57" s="57">
        <v>50</v>
      </c>
      <c r="B57" s="58" t="s">
        <v>46</v>
      </c>
      <c r="C57" s="98">
        <v>9901</v>
      </c>
      <c r="D57" s="98">
        <v>18066</v>
      </c>
      <c r="E57" s="98">
        <v>0</v>
      </c>
      <c r="F57" s="98">
        <v>0</v>
      </c>
      <c r="G57" s="99">
        <f t="shared" si="6"/>
        <v>0</v>
      </c>
      <c r="H57" s="98">
        <v>129</v>
      </c>
      <c r="I57" s="98">
        <v>386</v>
      </c>
      <c r="J57" s="98">
        <v>1</v>
      </c>
      <c r="K57" s="98">
        <v>0.5</v>
      </c>
      <c r="L57" s="99">
        <f t="shared" si="0"/>
        <v>0.12953367875647667</v>
      </c>
      <c r="M57" s="98">
        <v>911</v>
      </c>
      <c r="N57" s="98">
        <v>896.91</v>
      </c>
      <c r="O57" s="98">
        <f>H57+C57+'ACP_PS_11(i)'!M57+'ACP_PS_11(i)'!H57+'ACP_PS_11(i)'!C57+ACP_MSME_10!C57+'ACP_Agri_9(ii)'!M57</f>
        <v>109306</v>
      </c>
      <c r="P57" s="98">
        <f>I57+D57+'ACP_PS_11(i)'!N57+'ACP_PS_11(i)'!I57+'ACP_PS_11(i)'!D57+ACP_MSME_10!D57+'ACP_Agri_9(ii)'!N57</f>
        <v>359955.48</v>
      </c>
      <c r="Q57" s="98">
        <f>M57+J57+E57+'ACP_PS_11(i)'!O57+'ACP_PS_11(i)'!J57+'ACP_PS_11(i)'!E57+ACP_MSME_10!O57+'ACP_Agri_9(ii)'!O57</f>
        <v>141666</v>
      </c>
      <c r="R57" s="98">
        <f>N57+K57+F57+'ACP_PS_11(i)'!P57+'ACP_PS_11(i)'!K57+'ACP_PS_11(i)'!F57+ACP_MSME_10!P57+'ACP_Agri_9(ii)'!P57</f>
        <v>151141.11000000002</v>
      </c>
      <c r="S57" s="99">
        <f t="shared" si="1"/>
        <v>41.988834285840021</v>
      </c>
    </row>
    <row r="58" spans="1:21" s="107" customFormat="1">
      <c r="A58" s="57">
        <v>51</v>
      </c>
      <c r="B58" s="58" t="s">
        <v>228</v>
      </c>
      <c r="C58" s="98">
        <v>3288</v>
      </c>
      <c r="D58" s="98">
        <v>3337</v>
      </c>
      <c r="E58" s="98">
        <v>0</v>
      </c>
      <c r="F58" s="98">
        <v>0</v>
      </c>
      <c r="G58" s="99">
        <f t="shared" si="6"/>
        <v>0</v>
      </c>
      <c r="H58" s="98">
        <v>111</v>
      </c>
      <c r="I58" s="98">
        <v>325</v>
      </c>
      <c r="J58" s="98">
        <v>48</v>
      </c>
      <c r="K58" s="98">
        <v>11</v>
      </c>
      <c r="L58" s="99">
        <f t="shared" si="0"/>
        <v>3.3846153846153846</v>
      </c>
      <c r="M58" s="98">
        <v>44526</v>
      </c>
      <c r="N58" s="98">
        <v>10542</v>
      </c>
      <c r="O58" s="98">
        <f>H58+C58+'ACP_PS_11(i)'!M58+'ACP_PS_11(i)'!H58+'ACP_PS_11(i)'!C58+ACP_MSME_10!C58+'ACP_Agri_9(ii)'!M58</f>
        <v>167740</v>
      </c>
      <c r="P58" s="98">
        <f>I58+D58+'ACP_PS_11(i)'!N58+'ACP_PS_11(i)'!I58+'ACP_PS_11(i)'!D58+ACP_MSME_10!D58+'ACP_Agri_9(ii)'!N58</f>
        <v>326277.7</v>
      </c>
      <c r="Q58" s="98">
        <f>M58+J58+E58+'ACP_PS_11(i)'!O58+'ACP_PS_11(i)'!J58+'ACP_PS_11(i)'!E58+ACP_MSME_10!O58+'ACP_Agri_9(ii)'!O58</f>
        <v>255933</v>
      </c>
      <c r="R58" s="98">
        <f>N58+K58+F58+'ACP_PS_11(i)'!P58+'ACP_PS_11(i)'!K58+'ACP_PS_11(i)'!F58+ACP_MSME_10!P58+'ACP_Agri_9(ii)'!P58</f>
        <v>150665</v>
      </c>
      <c r="S58" s="99">
        <f t="shared" si="1"/>
        <v>46.176922296559034</v>
      </c>
      <c r="T58" s="110"/>
      <c r="U58" s="110"/>
    </row>
    <row r="59" spans="1:21" s="107" customFormat="1">
      <c r="A59" s="57">
        <v>52</v>
      </c>
      <c r="B59" s="58" t="s">
        <v>52</v>
      </c>
      <c r="C59" s="98">
        <v>6141</v>
      </c>
      <c r="D59" s="98">
        <v>11237</v>
      </c>
      <c r="E59" s="98">
        <v>0</v>
      </c>
      <c r="F59" s="98">
        <v>0</v>
      </c>
      <c r="G59" s="99">
        <f t="shared" si="6"/>
        <v>0</v>
      </c>
      <c r="H59" s="98">
        <v>284</v>
      </c>
      <c r="I59" s="98">
        <v>693</v>
      </c>
      <c r="J59" s="98">
        <v>0</v>
      </c>
      <c r="K59" s="98">
        <v>0</v>
      </c>
      <c r="L59" s="99">
        <f t="shared" si="0"/>
        <v>0</v>
      </c>
      <c r="M59" s="98">
        <v>0</v>
      </c>
      <c r="N59" s="98">
        <v>0</v>
      </c>
      <c r="O59" s="98">
        <f>H59+C59+'ACP_PS_11(i)'!M59+'ACP_PS_11(i)'!H59+'ACP_PS_11(i)'!C59+ACP_MSME_10!C59+'ACP_Agri_9(ii)'!M59</f>
        <v>136956.042837079</v>
      </c>
      <c r="P59" s="98">
        <f>I59+D59+'ACP_PS_11(i)'!N59+'ACP_PS_11(i)'!I59+'ACP_PS_11(i)'!D59+ACP_MSME_10!D59+'ACP_Agri_9(ii)'!N59</f>
        <v>487635.97</v>
      </c>
      <c r="Q59" s="98">
        <f>M59+J59+E59+'ACP_PS_11(i)'!O59+'ACP_PS_11(i)'!J59+'ACP_PS_11(i)'!E59+ACP_MSME_10!O59+'ACP_Agri_9(ii)'!O59</f>
        <v>218780</v>
      </c>
      <c r="R59" s="98">
        <f>N59+K59+F59+'ACP_PS_11(i)'!P59+'ACP_PS_11(i)'!K59+'ACP_PS_11(i)'!F59+ACP_MSME_10!P59+'ACP_Agri_9(ii)'!P59</f>
        <v>333983.38</v>
      </c>
      <c r="S59" s="99">
        <f t="shared" si="1"/>
        <v>68.490308456941762</v>
      </c>
      <c r="T59" s="110"/>
      <c r="U59" s="110"/>
    </row>
    <row r="60" spans="1:21" s="107" customFormat="1">
      <c r="A60" s="324"/>
      <c r="B60" s="59" t="s">
        <v>293</v>
      </c>
      <c r="C60" s="105">
        <f>SUM(C57:C59)</f>
        <v>19330</v>
      </c>
      <c r="D60" s="105">
        <f t="shared" ref="D60:N60" si="8">SUM(D57:D59)</f>
        <v>32640</v>
      </c>
      <c r="E60" s="105">
        <f t="shared" si="8"/>
        <v>0</v>
      </c>
      <c r="F60" s="105">
        <f t="shared" si="8"/>
        <v>0</v>
      </c>
      <c r="G60" s="96">
        <f t="shared" si="6"/>
        <v>0</v>
      </c>
      <c r="H60" s="105">
        <f t="shared" si="8"/>
        <v>524</v>
      </c>
      <c r="I60" s="105">
        <f t="shared" si="8"/>
        <v>1404</v>
      </c>
      <c r="J60" s="105">
        <f t="shared" si="8"/>
        <v>49</v>
      </c>
      <c r="K60" s="105">
        <f t="shared" si="8"/>
        <v>11.5</v>
      </c>
      <c r="L60" s="96">
        <f t="shared" si="0"/>
        <v>0.81908831908831914</v>
      </c>
      <c r="M60" s="105">
        <f t="shared" si="8"/>
        <v>45437</v>
      </c>
      <c r="N60" s="105">
        <f t="shared" si="8"/>
        <v>11438.91</v>
      </c>
      <c r="O60" s="105">
        <f>H60+C60+'ACP_PS_11(i)'!M60+'ACP_PS_11(i)'!H60+'ACP_PS_11(i)'!C60+ACP_MSME_10!C60+'ACP_Agri_9(ii)'!M60</f>
        <v>414002.04283707903</v>
      </c>
      <c r="P60" s="105">
        <f>I60+D60+'ACP_PS_11(i)'!N60+'ACP_PS_11(i)'!I60+'ACP_PS_11(i)'!D60+ACP_MSME_10!D60+'ACP_Agri_9(ii)'!N60</f>
        <v>1173869.1499999999</v>
      </c>
      <c r="Q60" s="105">
        <f>M60+J60+E60+'ACP_PS_11(i)'!O60+'ACP_PS_11(i)'!J60+'ACP_PS_11(i)'!E60+ACP_MSME_10!O60+'ACP_Agri_9(ii)'!O60</f>
        <v>616379</v>
      </c>
      <c r="R60" s="105">
        <f>N60+K60+F60+'ACP_PS_11(i)'!P60+'ACP_PS_11(i)'!K60+'ACP_PS_11(i)'!F60+ACP_MSME_10!P60+'ACP_Agri_9(ii)'!P60</f>
        <v>635789.48999999987</v>
      </c>
      <c r="S60" s="96">
        <f t="shared" si="1"/>
        <v>54.161870596905956</v>
      </c>
      <c r="T60" s="110"/>
      <c r="U60" s="110"/>
    </row>
    <row r="61" spans="1:21">
      <c r="A61" s="57">
        <v>53</v>
      </c>
      <c r="B61" s="58" t="s">
        <v>288</v>
      </c>
      <c r="C61" s="98">
        <v>9670</v>
      </c>
      <c r="D61" s="98">
        <v>5919</v>
      </c>
      <c r="E61" s="98">
        <v>0</v>
      </c>
      <c r="F61" s="98">
        <v>0</v>
      </c>
      <c r="G61" s="99">
        <f t="shared" si="6"/>
        <v>0</v>
      </c>
      <c r="H61" s="98">
        <v>0</v>
      </c>
      <c r="I61" s="98">
        <v>0</v>
      </c>
      <c r="J61" s="98">
        <v>0</v>
      </c>
      <c r="K61" s="98">
        <v>0</v>
      </c>
      <c r="L61" s="99">
        <v>0</v>
      </c>
      <c r="M61" s="98">
        <v>0</v>
      </c>
      <c r="N61" s="98">
        <v>0</v>
      </c>
      <c r="O61" s="98">
        <f>H61+C61+'ACP_PS_11(i)'!M61+'ACP_PS_11(i)'!H61+'ACP_PS_11(i)'!C61+ACP_MSME_10!C61+'ACP_Agri_9(ii)'!M61</f>
        <v>2308926</v>
      </c>
      <c r="P61" s="98">
        <f>I61+D61+'ACP_PS_11(i)'!N61+'ACP_PS_11(i)'!I61+'ACP_PS_11(i)'!D61+ACP_MSME_10!D61+'ACP_Agri_9(ii)'!N61</f>
        <v>2275966.9900000002</v>
      </c>
      <c r="Q61" s="98">
        <f>M61+J61+E61+'ACP_PS_11(i)'!O61+'ACP_PS_11(i)'!J61+'ACP_PS_11(i)'!E61+ACP_MSME_10!O61+'ACP_Agri_9(ii)'!O61</f>
        <v>775620</v>
      </c>
      <c r="R61" s="98">
        <f>N61+K61+F61+'ACP_PS_11(i)'!P61+'ACP_PS_11(i)'!K61+'ACP_PS_11(i)'!F61+ACP_MSME_10!P61+'ACP_Agri_9(ii)'!P61</f>
        <v>1999301</v>
      </c>
      <c r="S61" s="99">
        <f t="shared" si="1"/>
        <v>87.844024486488692</v>
      </c>
    </row>
    <row r="62" spans="1:21" s="107" customFormat="1">
      <c r="A62" s="370"/>
      <c r="B62" s="59" t="s">
        <v>289</v>
      </c>
      <c r="C62" s="105">
        <f>C61</f>
        <v>9670</v>
      </c>
      <c r="D62" s="105">
        <f t="shared" ref="D62:R62" si="9">D61</f>
        <v>5919</v>
      </c>
      <c r="E62" s="105">
        <f t="shared" si="9"/>
        <v>0</v>
      </c>
      <c r="F62" s="105">
        <f t="shared" si="9"/>
        <v>0</v>
      </c>
      <c r="G62" s="96">
        <f t="shared" si="6"/>
        <v>0</v>
      </c>
      <c r="H62" s="105">
        <f t="shared" si="9"/>
        <v>0</v>
      </c>
      <c r="I62" s="105">
        <f t="shared" si="9"/>
        <v>0</v>
      </c>
      <c r="J62" s="105">
        <f t="shared" si="9"/>
        <v>0</v>
      </c>
      <c r="K62" s="105">
        <f t="shared" si="9"/>
        <v>0</v>
      </c>
      <c r="L62" s="96">
        <v>0</v>
      </c>
      <c r="M62" s="105">
        <f t="shared" si="9"/>
        <v>0</v>
      </c>
      <c r="N62" s="105">
        <f t="shared" si="9"/>
        <v>0</v>
      </c>
      <c r="O62" s="105">
        <f t="shared" si="9"/>
        <v>2308926</v>
      </c>
      <c r="P62" s="105">
        <f t="shared" si="9"/>
        <v>2275966.9900000002</v>
      </c>
      <c r="Q62" s="105">
        <f t="shared" si="9"/>
        <v>775620</v>
      </c>
      <c r="R62" s="105">
        <f t="shared" si="9"/>
        <v>1999301</v>
      </c>
      <c r="S62" s="96">
        <f t="shared" si="1"/>
        <v>87.844024486488692</v>
      </c>
      <c r="T62" s="111"/>
      <c r="U62" s="111"/>
    </row>
    <row r="63" spans="1:21" s="107" customFormat="1">
      <c r="A63" s="324"/>
      <c r="B63" s="59" t="s">
        <v>290</v>
      </c>
      <c r="C63" s="105">
        <f>C62+C60+C56+C33</f>
        <v>220178</v>
      </c>
      <c r="D63" s="105">
        <f t="shared" ref="D63:N63" si="10">D62+D60+D56+D33</f>
        <v>391420</v>
      </c>
      <c r="E63" s="105">
        <f t="shared" si="10"/>
        <v>496</v>
      </c>
      <c r="F63" s="105">
        <f t="shared" si="10"/>
        <v>2336</v>
      </c>
      <c r="G63" s="96">
        <f t="shared" si="6"/>
        <v>0.5968013898114557</v>
      </c>
      <c r="H63" s="105">
        <f t="shared" si="10"/>
        <v>5277</v>
      </c>
      <c r="I63" s="105">
        <f t="shared" si="10"/>
        <v>27077</v>
      </c>
      <c r="J63" s="105">
        <f t="shared" si="10"/>
        <v>103</v>
      </c>
      <c r="K63" s="105">
        <f t="shared" si="10"/>
        <v>1721.19</v>
      </c>
      <c r="L63" s="96">
        <f t="shared" si="0"/>
        <v>6.3566495549728552</v>
      </c>
      <c r="M63" s="105">
        <f t="shared" si="10"/>
        <v>184165</v>
      </c>
      <c r="N63" s="105">
        <f t="shared" si="10"/>
        <v>278421.72499999998</v>
      </c>
      <c r="O63" s="105">
        <f>H63+C63+'ACP_PS_11(i)'!M63+'ACP_PS_11(i)'!H63+'ACP_PS_11(i)'!C63+ACP_MSME_10!C63+'ACP_Agri_9(ii)'!M63</f>
        <v>4985252.0428370796</v>
      </c>
      <c r="P63" s="105">
        <f>I63+D63+'ACP_PS_11(i)'!N63+'ACP_PS_11(i)'!I63+'ACP_PS_11(i)'!D63+ACP_MSME_10!D63+'ACP_Agri_9(ii)'!N63</f>
        <v>10910445.26</v>
      </c>
      <c r="Q63" s="105">
        <f>M63+J63+E63+'ACP_PS_11(i)'!O63+'ACP_PS_11(i)'!J63+'ACP_PS_11(i)'!E63+ACP_MSME_10!O63+'ACP_Agri_9(ii)'!O63</f>
        <v>4884224</v>
      </c>
      <c r="R63" s="105">
        <f>N63+K63+F63+'ACP_PS_11(i)'!P63+'ACP_PS_11(i)'!K63+'ACP_PS_11(i)'!F63+ACP_MSME_10!P63+'ACP_Agri_9(ii)'!P63</f>
        <v>8767789.8929999992</v>
      </c>
      <c r="S63" s="96">
        <f t="shared" si="1"/>
        <v>80.361430574649162</v>
      </c>
      <c r="T63" s="110"/>
      <c r="U63" s="110"/>
    </row>
    <row r="64" spans="1:21">
      <c r="A64" s="60"/>
      <c r="D64" s="110" t="s">
        <v>775</v>
      </c>
      <c r="O64" s="153"/>
      <c r="P64" s="153"/>
    </row>
    <row r="67" spans="14:18">
      <c r="Q67" s="110"/>
      <c r="R67" s="110"/>
    </row>
    <row r="68" spans="14:18">
      <c r="N68" s="110" t="s">
        <v>347</v>
      </c>
    </row>
  </sheetData>
  <mergeCells count="17">
    <mergeCell ref="A1:R1"/>
    <mergeCell ref="A3:A5"/>
    <mergeCell ref="B3:B5"/>
    <mergeCell ref="C3:F3"/>
    <mergeCell ref="Q4:R4"/>
    <mergeCell ref="H3:K3"/>
    <mergeCell ref="H4:I4"/>
    <mergeCell ref="S3:S5"/>
    <mergeCell ref="C4:D4"/>
    <mergeCell ref="E4:F4"/>
    <mergeCell ref="J4:K4"/>
    <mergeCell ref="M4:N4"/>
    <mergeCell ref="M3:N3"/>
    <mergeCell ref="O3:R3"/>
    <mergeCell ref="O4:P4"/>
    <mergeCell ref="G3:G5"/>
    <mergeCell ref="L3:L5"/>
  </mergeCells>
  <conditionalFormatting sqref="B6">
    <cfRule type="duplicateValues" dxfId="115" priority="4"/>
  </conditionalFormatting>
  <conditionalFormatting sqref="B22">
    <cfRule type="duplicateValues" dxfId="114" priority="5"/>
  </conditionalFormatting>
  <conditionalFormatting sqref="B33:B34 B26:B30">
    <cfRule type="duplicateValues" dxfId="113" priority="6"/>
  </conditionalFormatting>
  <conditionalFormatting sqref="B52">
    <cfRule type="duplicateValues" dxfId="112" priority="7"/>
  </conditionalFormatting>
  <conditionalFormatting sqref="B56">
    <cfRule type="duplicateValues" dxfId="111" priority="8"/>
  </conditionalFormatting>
  <conditionalFormatting sqref="B58">
    <cfRule type="duplicateValues" dxfId="110" priority="9"/>
  </conditionalFormatting>
  <conditionalFormatting sqref="S1:S1048576">
    <cfRule type="cellIs" dxfId="109" priority="3" stopIfTrue="1" operator="greaterThan">
      <formula>100</formula>
    </cfRule>
  </conditionalFormatting>
  <conditionalFormatting sqref="U1:U1048576">
    <cfRule type="cellIs" dxfId="108" priority="2" stopIfTrue="1" operator="lessThan">
      <formula>0</formula>
    </cfRule>
  </conditionalFormatting>
  <pageMargins left="1.75" right="0.2" top="0.25" bottom="0.25" header="0.3" footer="0.3"/>
  <pageSetup paperSize="9" scale="5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74"/>
  <sheetViews>
    <sheetView zoomScaleNormal="100" workbookViewId="0">
      <pane xSplit="2" ySplit="7" topLeftCell="K59" activePane="bottomRight" state="frozen"/>
      <selection pane="topRight" activeCell="C1" sqref="C1"/>
      <selection pane="bottomLeft" activeCell="A7" sqref="A7"/>
      <selection pane="bottomRight" activeCell="A39" sqref="A39:XFD39"/>
    </sheetView>
  </sheetViews>
  <sheetFormatPr defaultColWidth="4.42578125" defaultRowHeight="13.5"/>
  <cols>
    <col min="1" max="1" width="4.42578125" style="61"/>
    <col min="2" max="2" width="21.85546875" style="61" bestFit="1" customWidth="1"/>
    <col min="3" max="3" width="11" style="110" bestFit="1" customWidth="1"/>
    <col min="4" max="4" width="9.85546875" style="110" bestFit="1" customWidth="1"/>
    <col min="5" max="5" width="7" style="110" bestFit="1" customWidth="1"/>
    <col min="6" max="6" width="8.7109375" style="110" bestFit="1" customWidth="1"/>
    <col min="7" max="7" width="5.85546875" style="110" bestFit="1" customWidth="1"/>
    <col min="8" max="8" width="7.7109375" style="110" bestFit="1" customWidth="1"/>
    <col min="9" max="9" width="5.85546875" style="110" bestFit="1" customWidth="1"/>
    <col min="10" max="10" width="8.42578125" style="110" customWidth="1"/>
    <col min="11" max="11" width="5.85546875" style="110" bestFit="1" customWidth="1"/>
    <col min="12" max="12" width="8.28515625" style="110" bestFit="1" customWidth="1"/>
    <col min="13" max="13" width="7.28515625" style="110" bestFit="1" customWidth="1"/>
    <col min="14" max="14" width="9.7109375" style="110" bestFit="1" customWidth="1"/>
    <col min="15" max="15" width="6.140625" style="110" bestFit="1" customWidth="1"/>
    <col min="16" max="16" width="8.42578125" style="110" bestFit="1" customWidth="1"/>
    <col min="17" max="17" width="8.7109375" style="110" bestFit="1" customWidth="1"/>
    <col min="18" max="18" width="10.140625" style="110" bestFit="1" customWidth="1"/>
    <col min="19" max="19" width="9" style="110" bestFit="1" customWidth="1"/>
    <col min="20" max="20" width="10.5703125" style="110" bestFit="1" customWidth="1"/>
    <col min="21" max="21" width="9.85546875" style="110" bestFit="1" customWidth="1"/>
    <col min="22" max="22" width="12.5703125" style="110" bestFit="1" customWidth="1"/>
    <col min="23" max="23" width="11.28515625" style="111" bestFit="1" customWidth="1"/>
    <col min="24" max="24" width="11.5703125" style="111" bestFit="1" customWidth="1"/>
    <col min="25" max="25" width="10.28515625" style="61" customWidth="1"/>
    <col min="26" max="26" width="4.42578125" style="61"/>
    <col min="27" max="27" width="7" style="61" bestFit="1" customWidth="1"/>
    <col min="28" max="28" width="8" style="61" bestFit="1" customWidth="1"/>
    <col min="29" max="16384" width="4.42578125" style="61"/>
  </cols>
  <sheetData>
    <row r="1" spans="1:28" ht="15.75">
      <c r="A1" s="628" t="s">
        <v>757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  <c r="O1" s="628"/>
      <c r="P1" s="628"/>
      <c r="Q1" s="628"/>
      <c r="R1" s="628"/>
      <c r="S1" s="628"/>
      <c r="T1" s="628"/>
      <c r="U1" s="628"/>
      <c r="V1" s="628"/>
      <c r="W1" s="628"/>
      <c r="X1" s="628"/>
    </row>
    <row r="2" spans="1:28">
      <c r="B2" s="107" t="s">
        <v>134</v>
      </c>
      <c r="J2" s="110" t="s">
        <v>142</v>
      </c>
      <c r="N2" s="61"/>
      <c r="O2" s="111"/>
      <c r="P2" s="111"/>
      <c r="V2" s="111" t="s">
        <v>167</v>
      </c>
    </row>
    <row r="3" spans="1:28" ht="15" customHeight="1">
      <c r="A3" s="594" t="s">
        <v>270</v>
      </c>
      <c r="B3" s="594" t="s">
        <v>271</v>
      </c>
      <c r="C3" s="602" t="s">
        <v>272</v>
      </c>
      <c r="D3" s="602"/>
      <c r="E3" s="595" t="s">
        <v>153</v>
      </c>
      <c r="F3" s="595"/>
      <c r="G3" s="595" t="s">
        <v>24</v>
      </c>
      <c r="H3" s="595"/>
      <c r="I3" s="595"/>
      <c r="J3" s="595"/>
      <c r="K3" s="595"/>
      <c r="L3" s="595"/>
      <c r="M3" s="595"/>
      <c r="N3" s="595"/>
      <c r="O3" s="595" t="s">
        <v>136</v>
      </c>
      <c r="P3" s="595"/>
      <c r="Q3" s="595" t="s">
        <v>137</v>
      </c>
      <c r="R3" s="595"/>
      <c r="S3" s="595" t="s">
        <v>154</v>
      </c>
      <c r="T3" s="595"/>
      <c r="U3" s="595" t="s">
        <v>131</v>
      </c>
      <c r="V3" s="595"/>
      <c r="W3" s="595" t="s">
        <v>155</v>
      </c>
      <c r="X3" s="595"/>
      <c r="Y3" s="623" t="s">
        <v>121</v>
      </c>
    </row>
    <row r="4" spans="1:28" ht="24.95" customHeight="1">
      <c r="A4" s="594"/>
      <c r="B4" s="594"/>
      <c r="C4" s="626" t="s">
        <v>30</v>
      </c>
      <c r="D4" s="626" t="s">
        <v>17</v>
      </c>
      <c r="E4" s="595"/>
      <c r="F4" s="595"/>
      <c r="G4" s="595" t="s">
        <v>127</v>
      </c>
      <c r="H4" s="595"/>
      <c r="I4" s="595" t="s">
        <v>128</v>
      </c>
      <c r="J4" s="595"/>
      <c r="K4" s="595" t="s">
        <v>129</v>
      </c>
      <c r="L4" s="595"/>
      <c r="M4" s="595" t="s">
        <v>156</v>
      </c>
      <c r="N4" s="595"/>
      <c r="O4" s="595"/>
      <c r="P4" s="595"/>
      <c r="Q4" s="595"/>
      <c r="R4" s="595"/>
      <c r="S4" s="595"/>
      <c r="T4" s="595"/>
      <c r="U4" s="595"/>
      <c r="V4" s="595"/>
      <c r="W4" s="595"/>
      <c r="X4" s="595"/>
      <c r="Y4" s="624"/>
    </row>
    <row r="5" spans="1:28" s="290" customFormat="1" ht="33" customHeight="1">
      <c r="A5" s="594"/>
      <c r="B5" s="594"/>
      <c r="C5" s="627"/>
      <c r="D5" s="627"/>
      <c r="E5" s="318" t="s">
        <v>30</v>
      </c>
      <c r="F5" s="318" t="s">
        <v>17</v>
      </c>
      <c r="G5" s="318" t="s">
        <v>30</v>
      </c>
      <c r="H5" s="318" t="s">
        <v>17</v>
      </c>
      <c r="I5" s="318" t="s">
        <v>30</v>
      </c>
      <c r="J5" s="318" t="s">
        <v>17</v>
      </c>
      <c r="K5" s="318" t="s">
        <v>30</v>
      </c>
      <c r="L5" s="318" t="s">
        <v>17</v>
      </c>
      <c r="M5" s="318" t="s">
        <v>30</v>
      </c>
      <c r="N5" s="318" t="s">
        <v>17</v>
      </c>
      <c r="O5" s="318" t="s">
        <v>30</v>
      </c>
      <c r="P5" s="318" t="s">
        <v>17</v>
      </c>
      <c r="Q5" s="318" t="s">
        <v>30</v>
      </c>
      <c r="R5" s="318" t="s">
        <v>17</v>
      </c>
      <c r="S5" s="318" t="s">
        <v>30</v>
      </c>
      <c r="T5" s="318" t="s">
        <v>17</v>
      </c>
      <c r="U5" s="318" t="s">
        <v>30</v>
      </c>
      <c r="V5" s="318" t="s">
        <v>17</v>
      </c>
      <c r="W5" s="318" t="s">
        <v>30</v>
      </c>
      <c r="X5" s="318" t="s">
        <v>17</v>
      </c>
      <c r="Y5" s="625"/>
    </row>
    <row r="6" spans="1:28">
      <c r="A6" s="57">
        <v>1</v>
      </c>
      <c r="B6" s="58" t="s">
        <v>55</v>
      </c>
      <c r="C6" s="98">
        <v>5565</v>
      </c>
      <c r="D6" s="98">
        <v>1762</v>
      </c>
      <c r="E6" s="98">
        <v>0</v>
      </c>
      <c r="F6" s="98">
        <v>0</v>
      </c>
      <c r="G6" s="98">
        <v>0</v>
      </c>
      <c r="H6" s="98">
        <v>0</v>
      </c>
      <c r="I6" s="98">
        <v>0</v>
      </c>
      <c r="J6" s="98">
        <v>0</v>
      </c>
      <c r="K6" s="98">
        <v>2</v>
      </c>
      <c r="L6" s="98">
        <v>2000</v>
      </c>
      <c r="M6" s="98">
        <v>2</v>
      </c>
      <c r="N6" s="98">
        <v>2000</v>
      </c>
      <c r="O6" s="98">
        <v>0</v>
      </c>
      <c r="P6" s="98">
        <v>0</v>
      </c>
      <c r="Q6" s="98">
        <v>0</v>
      </c>
      <c r="R6" s="98">
        <v>0</v>
      </c>
      <c r="S6" s="98">
        <v>689</v>
      </c>
      <c r="T6" s="98">
        <v>896</v>
      </c>
      <c r="U6" s="98">
        <v>468</v>
      </c>
      <c r="V6" s="98">
        <v>3598</v>
      </c>
      <c r="W6" s="98">
        <f t="shared" ref="W6:W32" si="0">U6+S6+Q6+O6+M6+E6</f>
        <v>1159</v>
      </c>
      <c r="X6" s="98">
        <f t="shared" ref="X6:X32" si="1">V6+T6+R6+P6+N6+F6</f>
        <v>6494</v>
      </c>
      <c r="Y6" s="99">
        <f t="shared" ref="Y6:Y35" si="2">X6*100/D6</f>
        <v>368.5584562996595</v>
      </c>
      <c r="AA6" s="110"/>
      <c r="AB6" s="110"/>
    </row>
    <row r="7" spans="1:28">
      <c r="A7" s="57">
        <v>2</v>
      </c>
      <c r="B7" s="58" t="s">
        <v>56</v>
      </c>
      <c r="C7" s="98">
        <v>1310</v>
      </c>
      <c r="D7" s="98">
        <v>2711</v>
      </c>
      <c r="E7" s="98">
        <v>0</v>
      </c>
      <c r="F7" s="98">
        <v>0</v>
      </c>
      <c r="G7" s="98">
        <v>4</v>
      </c>
      <c r="H7" s="98">
        <v>801.09</v>
      </c>
      <c r="I7" s="98">
        <v>0</v>
      </c>
      <c r="J7" s="98">
        <v>0</v>
      </c>
      <c r="K7" s="98">
        <v>0</v>
      </c>
      <c r="L7" s="98">
        <v>0</v>
      </c>
      <c r="M7" s="98">
        <v>4</v>
      </c>
      <c r="N7" s="98">
        <v>801.09</v>
      </c>
      <c r="O7" s="98">
        <v>3</v>
      </c>
      <c r="P7" s="98">
        <v>75.010000000000005</v>
      </c>
      <c r="Q7" s="98">
        <v>18</v>
      </c>
      <c r="R7" s="98">
        <v>693</v>
      </c>
      <c r="S7" s="98">
        <v>72</v>
      </c>
      <c r="T7" s="98">
        <v>146.22999999999999</v>
      </c>
      <c r="U7" s="98">
        <v>251</v>
      </c>
      <c r="V7" s="98">
        <v>1309.53</v>
      </c>
      <c r="W7" s="98">
        <f t="shared" si="0"/>
        <v>348</v>
      </c>
      <c r="X7" s="98">
        <f t="shared" si="1"/>
        <v>3024.8600000000006</v>
      </c>
      <c r="Y7" s="99">
        <f t="shared" si="2"/>
        <v>111.57727775728516</v>
      </c>
      <c r="AA7" s="110"/>
      <c r="AB7" s="110"/>
    </row>
    <row r="8" spans="1:28">
      <c r="A8" s="57">
        <v>3</v>
      </c>
      <c r="B8" s="58" t="s">
        <v>57</v>
      </c>
      <c r="C8" s="98">
        <v>1672</v>
      </c>
      <c r="D8" s="98">
        <v>9426</v>
      </c>
      <c r="E8" s="98">
        <v>1</v>
      </c>
      <c r="F8" s="98">
        <v>1</v>
      </c>
      <c r="G8" s="98">
        <v>1</v>
      </c>
      <c r="H8" s="98">
        <v>1</v>
      </c>
      <c r="I8" s="98">
        <v>1</v>
      </c>
      <c r="J8" s="98">
        <v>1</v>
      </c>
      <c r="K8" s="98">
        <v>96</v>
      </c>
      <c r="L8" s="98">
        <v>4321</v>
      </c>
      <c r="M8" s="98">
        <v>98</v>
      </c>
      <c r="N8" s="98">
        <v>4323</v>
      </c>
      <c r="O8" s="98">
        <v>86</v>
      </c>
      <c r="P8" s="98">
        <v>3533</v>
      </c>
      <c r="Q8" s="98">
        <v>216</v>
      </c>
      <c r="R8" s="98">
        <v>4485</v>
      </c>
      <c r="S8" s="98">
        <v>545</v>
      </c>
      <c r="T8" s="98">
        <v>1032</v>
      </c>
      <c r="U8" s="98">
        <v>198</v>
      </c>
      <c r="V8" s="98">
        <v>1867</v>
      </c>
      <c r="W8" s="98">
        <f t="shared" si="0"/>
        <v>1144</v>
      </c>
      <c r="X8" s="98">
        <f t="shared" si="1"/>
        <v>15241</v>
      </c>
      <c r="Y8" s="99">
        <f t="shared" si="2"/>
        <v>161.69106726076808</v>
      </c>
      <c r="AA8" s="110"/>
      <c r="AB8" s="110"/>
    </row>
    <row r="9" spans="1:28">
      <c r="A9" s="57">
        <v>4</v>
      </c>
      <c r="B9" s="58" t="s">
        <v>58</v>
      </c>
      <c r="C9" s="98">
        <v>5625</v>
      </c>
      <c r="D9" s="98">
        <v>48137</v>
      </c>
      <c r="E9" s="98">
        <v>5807</v>
      </c>
      <c r="F9" s="98">
        <v>9542</v>
      </c>
      <c r="G9" s="98">
        <v>25</v>
      </c>
      <c r="H9" s="98">
        <v>729</v>
      </c>
      <c r="I9" s="98">
        <v>47</v>
      </c>
      <c r="J9" s="98">
        <v>15231</v>
      </c>
      <c r="K9" s="98">
        <v>11</v>
      </c>
      <c r="L9" s="98">
        <v>9336</v>
      </c>
      <c r="M9" s="98">
        <v>83</v>
      </c>
      <c r="N9" s="98">
        <v>25296</v>
      </c>
      <c r="O9" s="98">
        <v>96</v>
      </c>
      <c r="P9" s="98">
        <v>62</v>
      </c>
      <c r="Q9" s="98">
        <v>5681</v>
      </c>
      <c r="R9" s="98">
        <v>28830</v>
      </c>
      <c r="S9" s="98">
        <v>1856</v>
      </c>
      <c r="T9" s="98">
        <v>2985</v>
      </c>
      <c r="U9" s="98">
        <v>9856</v>
      </c>
      <c r="V9" s="98">
        <v>5808</v>
      </c>
      <c r="W9" s="98">
        <f t="shared" si="0"/>
        <v>23379</v>
      </c>
      <c r="X9" s="98">
        <f t="shared" si="1"/>
        <v>72523</v>
      </c>
      <c r="Y9" s="99">
        <f t="shared" si="2"/>
        <v>150.65957579408771</v>
      </c>
      <c r="AA9" s="110"/>
      <c r="AB9" s="110"/>
    </row>
    <row r="10" spans="1:28">
      <c r="A10" s="57">
        <v>5</v>
      </c>
      <c r="B10" s="58" t="s">
        <v>59</v>
      </c>
      <c r="C10" s="98">
        <v>3211</v>
      </c>
      <c r="D10" s="98">
        <v>11083</v>
      </c>
      <c r="E10" s="98">
        <v>1</v>
      </c>
      <c r="F10" s="98">
        <v>6285.3</v>
      </c>
      <c r="G10" s="98">
        <v>145</v>
      </c>
      <c r="H10" s="98">
        <v>1787.85</v>
      </c>
      <c r="I10" s="98">
        <v>9</v>
      </c>
      <c r="J10" s="98">
        <v>785.59</v>
      </c>
      <c r="K10" s="98">
        <v>1</v>
      </c>
      <c r="L10" s="98">
        <v>114.21</v>
      </c>
      <c r="M10" s="98">
        <v>155</v>
      </c>
      <c r="N10" s="98">
        <v>2687.65</v>
      </c>
      <c r="O10" s="98">
        <v>26</v>
      </c>
      <c r="P10" s="98">
        <v>141.19</v>
      </c>
      <c r="Q10" s="98">
        <v>73</v>
      </c>
      <c r="R10" s="98">
        <v>841.81</v>
      </c>
      <c r="S10" s="98">
        <v>1523</v>
      </c>
      <c r="T10" s="98">
        <v>4269.17</v>
      </c>
      <c r="U10" s="98">
        <v>738</v>
      </c>
      <c r="V10" s="98">
        <v>10027.700000000001</v>
      </c>
      <c r="W10" s="98">
        <f t="shared" si="0"/>
        <v>2516</v>
      </c>
      <c r="X10" s="98">
        <f t="shared" si="1"/>
        <v>24252.82</v>
      </c>
      <c r="Y10" s="99">
        <f t="shared" si="2"/>
        <v>218.82901741405757</v>
      </c>
      <c r="AA10" s="110"/>
      <c r="AB10" s="110"/>
    </row>
    <row r="11" spans="1:28">
      <c r="A11" s="57">
        <v>6</v>
      </c>
      <c r="B11" s="175" t="s">
        <v>241</v>
      </c>
      <c r="C11" s="98">
        <v>12</v>
      </c>
      <c r="D11" s="98">
        <v>13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f t="shared" si="0"/>
        <v>0</v>
      </c>
      <c r="X11" s="98">
        <f t="shared" si="1"/>
        <v>0</v>
      </c>
      <c r="Y11" s="99">
        <f t="shared" si="2"/>
        <v>0</v>
      </c>
      <c r="AA11" s="110"/>
      <c r="AB11" s="110"/>
    </row>
    <row r="12" spans="1:28">
      <c r="A12" s="57">
        <v>7</v>
      </c>
      <c r="B12" s="58" t="s">
        <v>60</v>
      </c>
      <c r="C12" s="98">
        <v>2287</v>
      </c>
      <c r="D12" s="98">
        <v>11771</v>
      </c>
      <c r="E12" s="98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2</v>
      </c>
      <c r="L12" s="98">
        <v>566.4</v>
      </c>
      <c r="M12" s="98">
        <v>2</v>
      </c>
      <c r="N12" s="98">
        <v>566.4</v>
      </c>
      <c r="O12" s="98">
        <v>81</v>
      </c>
      <c r="P12" s="98">
        <v>212.71</v>
      </c>
      <c r="Q12" s="98">
        <v>87</v>
      </c>
      <c r="R12" s="98">
        <v>1747.88</v>
      </c>
      <c r="S12" s="98">
        <v>3</v>
      </c>
      <c r="T12" s="98">
        <v>2.38</v>
      </c>
      <c r="U12" s="98">
        <v>303</v>
      </c>
      <c r="V12" s="98">
        <v>3746</v>
      </c>
      <c r="W12" s="98">
        <f t="shared" si="0"/>
        <v>476</v>
      </c>
      <c r="X12" s="98">
        <f t="shared" si="1"/>
        <v>6275.37</v>
      </c>
      <c r="Y12" s="99">
        <f t="shared" si="2"/>
        <v>53.312123014187407</v>
      </c>
      <c r="AA12" s="110"/>
      <c r="AB12" s="110"/>
    </row>
    <row r="13" spans="1:28">
      <c r="A13" s="57">
        <v>8</v>
      </c>
      <c r="B13" s="58" t="s">
        <v>61</v>
      </c>
      <c r="C13" s="98">
        <f>4438-1646-8</f>
        <v>2784</v>
      </c>
      <c r="D13" s="98">
        <v>24031</v>
      </c>
      <c r="E13" s="98">
        <v>0</v>
      </c>
      <c r="F13" s="98">
        <v>0</v>
      </c>
      <c r="G13" s="98">
        <v>0</v>
      </c>
      <c r="H13" s="98">
        <v>0</v>
      </c>
      <c r="I13" s="58">
        <v>0</v>
      </c>
      <c r="J13" s="5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3</v>
      </c>
      <c r="P13" s="98">
        <v>34</v>
      </c>
      <c r="Q13" s="98">
        <v>27</v>
      </c>
      <c r="R13" s="98">
        <v>398</v>
      </c>
      <c r="S13" s="98">
        <v>2026</v>
      </c>
      <c r="T13" s="98">
        <v>5182</v>
      </c>
      <c r="U13" s="98">
        <v>165</v>
      </c>
      <c r="V13" s="98">
        <v>16132</v>
      </c>
      <c r="W13" s="98">
        <f t="shared" si="0"/>
        <v>2221</v>
      </c>
      <c r="X13" s="98">
        <f t="shared" si="1"/>
        <v>21746</v>
      </c>
      <c r="Y13" s="99">
        <f t="shared" si="2"/>
        <v>90.491448545628558</v>
      </c>
      <c r="AA13" s="110"/>
      <c r="AB13" s="110"/>
    </row>
    <row r="14" spans="1:28">
      <c r="A14" s="57">
        <v>9</v>
      </c>
      <c r="B14" s="58" t="s">
        <v>48</v>
      </c>
      <c r="C14" s="98">
        <v>455</v>
      </c>
      <c r="D14" s="98">
        <v>1817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f t="shared" si="0"/>
        <v>0</v>
      </c>
      <c r="X14" s="98">
        <f t="shared" si="1"/>
        <v>0</v>
      </c>
      <c r="Y14" s="99">
        <f t="shared" si="2"/>
        <v>0</v>
      </c>
      <c r="AA14" s="110"/>
      <c r="AB14" s="110"/>
    </row>
    <row r="15" spans="1:28">
      <c r="A15" s="57">
        <v>10</v>
      </c>
      <c r="B15" s="58" t="s">
        <v>49</v>
      </c>
      <c r="C15" s="98">
        <v>1072</v>
      </c>
      <c r="D15" s="98">
        <v>5706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36</v>
      </c>
      <c r="R15" s="98">
        <v>1029</v>
      </c>
      <c r="S15" s="98">
        <v>108</v>
      </c>
      <c r="T15" s="98">
        <v>90</v>
      </c>
      <c r="U15" s="98">
        <v>956</v>
      </c>
      <c r="V15" s="98">
        <v>54810</v>
      </c>
      <c r="W15" s="98">
        <f t="shared" si="0"/>
        <v>1100</v>
      </c>
      <c r="X15" s="98">
        <f t="shared" si="1"/>
        <v>55929</v>
      </c>
      <c r="Y15" s="99">
        <f t="shared" si="2"/>
        <v>980.17875920084123</v>
      </c>
      <c r="AA15" s="110"/>
      <c r="AB15" s="110"/>
    </row>
    <row r="16" spans="1:28">
      <c r="A16" s="57">
        <v>11</v>
      </c>
      <c r="B16" s="58" t="s">
        <v>81</v>
      </c>
      <c r="C16" s="98">
        <v>975</v>
      </c>
      <c r="D16" s="98">
        <v>9764</v>
      </c>
      <c r="E16" s="98">
        <v>2</v>
      </c>
      <c r="F16" s="98">
        <v>56</v>
      </c>
      <c r="G16" s="98">
        <v>272</v>
      </c>
      <c r="H16" s="98">
        <v>23160</v>
      </c>
      <c r="I16" s="98">
        <v>152</v>
      </c>
      <c r="J16" s="98">
        <v>1364</v>
      </c>
      <c r="K16" s="98">
        <v>12</v>
      </c>
      <c r="L16" s="98">
        <v>2724</v>
      </c>
      <c r="M16" s="98">
        <v>436</v>
      </c>
      <c r="N16" s="98">
        <v>27248</v>
      </c>
      <c r="O16" s="98">
        <v>4</v>
      </c>
      <c r="P16" s="98">
        <v>3</v>
      </c>
      <c r="Q16" s="98">
        <v>354</v>
      </c>
      <c r="R16" s="98">
        <v>8672</v>
      </c>
      <c r="S16" s="98">
        <v>1465</v>
      </c>
      <c r="T16" s="98">
        <v>12929</v>
      </c>
      <c r="U16" s="98">
        <v>653</v>
      </c>
      <c r="V16" s="98">
        <v>10618</v>
      </c>
      <c r="W16" s="98">
        <f t="shared" si="0"/>
        <v>2914</v>
      </c>
      <c r="X16" s="98">
        <f t="shared" si="1"/>
        <v>59526</v>
      </c>
      <c r="Y16" s="99">
        <f t="shared" si="2"/>
        <v>609.64768537484633</v>
      </c>
      <c r="AA16" s="110"/>
      <c r="AB16" s="110"/>
    </row>
    <row r="17" spans="1:28">
      <c r="A17" s="57">
        <v>12</v>
      </c>
      <c r="B17" s="58" t="s">
        <v>62</v>
      </c>
      <c r="C17" s="98">
        <v>454</v>
      </c>
      <c r="D17" s="98">
        <v>2250</v>
      </c>
      <c r="E17" s="98">
        <v>0</v>
      </c>
      <c r="F17" s="98">
        <v>0</v>
      </c>
      <c r="G17" s="98">
        <v>1</v>
      </c>
      <c r="H17" s="98">
        <v>24</v>
      </c>
      <c r="I17" s="98">
        <v>0</v>
      </c>
      <c r="J17" s="98">
        <v>0</v>
      </c>
      <c r="K17" s="98">
        <v>0</v>
      </c>
      <c r="L17" s="98">
        <v>0</v>
      </c>
      <c r="M17" s="98">
        <v>1</v>
      </c>
      <c r="N17" s="98">
        <v>24</v>
      </c>
      <c r="O17" s="98">
        <v>0</v>
      </c>
      <c r="P17" s="98">
        <v>0</v>
      </c>
      <c r="Q17" s="98">
        <v>0</v>
      </c>
      <c r="R17" s="98">
        <v>0</v>
      </c>
      <c r="S17" s="98">
        <v>732</v>
      </c>
      <c r="T17" s="98">
        <v>2152.67</v>
      </c>
      <c r="U17" s="98">
        <v>798</v>
      </c>
      <c r="V17" s="98">
        <v>13295</v>
      </c>
      <c r="W17" s="98">
        <f t="shared" si="0"/>
        <v>1531</v>
      </c>
      <c r="X17" s="98">
        <f t="shared" si="1"/>
        <v>15471.67</v>
      </c>
      <c r="Y17" s="99">
        <f t="shared" si="2"/>
        <v>687.6297777777778</v>
      </c>
      <c r="AA17" s="110"/>
      <c r="AB17" s="110"/>
    </row>
    <row r="18" spans="1:28">
      <c r="A18" s="57">
        <v>13</v>
      </c>
      <c r="B18" s="58" t="s">
        <v>63</v>
      </c>
      <c r="C18" s="98">
        <v>608</v>
      </c>
      <c r="D18" s="98">
        <v>2398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3</v>
      </c>
      <c r="P18" s="98">
        <v>27</v>
      </c>
      <c r="Q18" s="98">
        <v>2</v>
      </c>
      <c r="R18" s="98">
        <v>55</v>
      </c>
      <c r="S18" s="98">
        <v>1204</v>
      </c>
      <c r="T18" s="98">
        <v>4824</v>
      </c>
      <c r="U18" s="98">
        <v>106</v>
      </c>
      <c r="V18" s="98">
        <v>267</v>
      </c>
      <c r="W18" s="98">
        <f t="shared" si="0"/>
        <v>1315</v>
      </c>
      <c r="X18" s="98">
        <f t="shared" si="1"/>
        <v>5173</v>
      </c>
      <c r="Y18" s="99">
        <f t="shared" si="2"/>
        <v>215.72143452877398</v>
      </c>
      <c r="AA18" s="110"/>
      <c r="AB18" s="110"/>
    </row>
    <row r="19" spans="1:28">
      <c r="A19" s="57">
        <v>14</v>
      </c>
      <c r="B19" s="90" t="s">
        <v>206</v>
      </c>
      <c r="C19" s="98">
        <v>2210</v>
      </c>
      <c r="D19" s="98">
        <v>7391</v>
      </c>
      <c r="E19" s="98">
        <v>0</v>
      </c>
      <c r="F19" s="98">
        <v>0</v>
      </c>
      <c r="G19" s="98">
        <v>0</v>
      </c>
      <c r="H19" s="98">
        <v>0</v>
      </c>
      <c r="I19" s="98">
        <v>1</v>
      </c>
      <c r="J19" s="98">
        <v>1466.42</v>
      </c>
      <c r="K19" s="98">
        <v>2</v>
      </c>
      <c r="L19" s="98">
        <v>1125.1199999999999</v>
      </c>
      <c r="M19" s="98">
        <v>3</v>
      </c>
      <c r="N19" s="98">
        <v>2591.54</v>
      </c>
      <c r="O19" s="98">
        <v>0</v>
      </c>
      <c r="P19" s="98">
        <v>0</v>
      </c>
      <c r="Q19" s="98">
        <v>175</v>
      </c>
      <c r="R19" s="98">
        <v>3461.07</v>
      </c>
      <c r="S19" s="98">
        <v>316</v>
      </c>
      <c r="T19" s="98">
        <v>777.68</v>
      </c>
      <c r="U19" s="98">
        <v>1307</v>
      </c>
      <c r="V19" s="98">
        <v>29791.47</v>
      </c>
      <c r="W19" s="98">
        <f t="shared" si="0"/>
        <v>1801</v>
      </c>
      <c r="X19" s="98">
        <f t="shared" si="1"/>
        <v>36621.760000000002</v>
      </c>
      <c r="Y19" s="99">
        <f t="shared" si="2"/>
        <v>495.49127317007174</v>
      </c>
      <c r="AA19" s="110"/>
      <c r="AB19" s="110"/>
    </row>
    <row r="20" spans="1:28">
      <c r="A20" s="57">
        <v>15</v>
      </c>
      <c r="B20" s="58" t="s">
        <v>207</v>
      </c>
      <c r="C20" s="98">
        <v>1222</v>
      </c>
      <c r="D20" s="98">
        <v>4287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5</v>
      </c>
      <c r="P20" s="98">
        <v>91</v>
      </c>
      <c r="Q20" s="98">
        <v>41</v>
      </c>
      <c r="R20" s="98">
        <v>791.68</v>
      </c>
      <c r="S20" s="98">
        <v>26</v>
      </c>
      <c r="T20" s="98">
        <v>41.18</v>
      </c>
      <c r="U20" s="98">
        <v>669</v>
      </c>
      <c r="V20" s="98">
        <v>2394.71</v>
      </c>
      <c r="W20" s="98">
        <f t="shared" si="0"/>
        <v>741</v>
      </c>
      <c r="X20" s="98">
        <f t="shared" si="1"/>
        <v>3318.5699999999997</v>
      </c>
      <c r="Y20" s="99">
        <f t="shared" si="2"/>
        <v>77.410076976906922</v>
      </c>
      <c r="AA20" s="110"/>
      <c r="AB20" s="110"/>
    </row>
    <row r="21" spans="1:28">
      <c r="A21" s="57">
        <v>16</v>
      </c>
      <c r="B21" s="58" t="s">
        <v>64</v>
      </c>
      <c r="C21" s="98">
        <v>2053</v>
      </c>
      <c r="D21" s="98">
        <v>16716</v>
      </c>
      <c r="E21" s="98">
        <v>5</v>
      </c>
      <c r="F21" s="98">
        <v>80560</v>
      </c>
      <c r="G21" s="98">
        <v>50</v>
      </c>
      <c r="H21" s="98">
        <v>7065</v>
      </c>
      <c r="I21" s="98">
        <v>30</v>
      </c>
      <c r="J21" s="98">
        <v>24389</v>
      </c>
      <c r="K21" s="98">
        <v>3</v>
      </c>
      <c r="L21" s="98">
        <v>4612</v>
      </c>
      <c r="M21" s="98">
        <v>83</v>
      </c>
      <c r="N21" s="98">
        <v>36066</v>
      </c>
      <c r="O21" s="98">
        <v>7</v>
      </c>
      <c r="P21" s="98">
        <v>33</v>
      </c>
      <c r="Q21" s="98">
        <v>978</v>
      </c>
      <c r="R21" s="98">
        <v>18507</v>
      </c>
      <c r="S21" s="98">
        <v>14434</v>
      </c>
      <c r="T21" s="98">
        <v>70011</v>
      </c>
      <c r="U21" s="98">
        <v>3675</v>
      </c>
      <c r="V21" s="98">
        <v>181564</v>
      </c>
      <c r="W21" s="98">
        <f t="shared" si="0"/>
        <v>19182</v>
      </c>
      <c r="X21" s="98">
        <f t="shared" si="1"/>
        <v>386741</v>
      </c>
      <c r="Y21" s="99">
        <f t="shared" si="2"/>
        <v>2313.5977506580521</v>
      </c>
      <c r="AA21" s="110"/>
      <c r="AB21" s="110"/>
    </row>
    <row r="22" spans="1:28">
      <c r="A22" s="57">
        <v>17</v>
      </c>
      <c r="B22" s="90" t="s">
        <v>69</v>
      </c>
      <c r="C22" s="98">
        <v>396</v>
      </c>
      <c r="D22" s="98">
        <v>2032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8">
        <v>0</v>
      </c>
      <c r="R22" s="98">
        <v>0</v>
      </c>
      <c r="S22" s="98">
        <v>0</v>
      </c>
      <c r="T22" s="98">
        <v>0</v>
      </c>
      <c r="U22" s="98">
        <v>0</v>
      </c>
      <c r="V22" s="98">
        <v>0</v>
      </c>
      <c r="W22" s="98">
        <f t="shared" si="0"/>
        <v>0</v>
      </c>
      <c r="X22" s="98">
        <f t="shared" si="1"/>
        <v>0</v>
      </c>
      <c r="Y22" s="99">
        <f t="shared" si="2"/>
        <v>0</v>
      </c>
      <c r="AA22" s="110"/>
      <c r="AB22" s="110"/>
    </row>
    <row r="23" spans="1:28">
      <c r="A23" s="57">
        <v>18</v>
      </c>
      <c r="B23" s="58" t="s">
        <v>208</v>
      </c>
      <c r="C23" s="98">
        <v>14</v>
      </c>
      <c r="D23" s="98">
        <v>147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98">
        <v>0</v>
      </c>
      <c r="U23" s="98">
        <v>0</v>
      </c>
      <c r="V23" s="98">
        <v>0</v>
      </c>
      <c r="W23" s="98">
        <f t="shared" si="0"/>
        <v>0</v>
      </c>
      <c r="X23" s="98">
        <f t="shared" si="1"/>
        <v>0</v>
      </c>
      <c r="Y23" s="99">
        <f t="shared" si="2"/>
        <v>0</v>
      </c>
      <c r="AA23" s="110"/>
      <c r="AB23" s="110"/>
    </row>
    <row r="24" spans="1:28">
      <c r="A24" s="57">
        <v>19</v>
      </c>
      <c r="B24" s="91" t="s">
        <v>209</v>
      </c>
      <c r="C24" s="98">
        <v>246</v>
      </c>
      <c r="D24" s="98">
        <v>1394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98">
        <v>0</v>
      </c>
      <c r="K24" s="98">
        <v>0</v>
      </c>
      <c r="L24" s="98">
        <v>0</v>
      </c>
      <c r="M24" s="98">
        <v>0</v>
      </c>
      <c r="N24" s="98">
        <v>0</v>
      </c>
      <c r="O24" s="98">
        <v>0</v>
      </c>
      <c r="P24" s="98">
        <v>0</v>
      </c>
      <c r="Q24" s="98">
        <v>0</v>
      </c>
      <c r="R24" s="98">
        <v>0</v>
      </c>
      <c r="S24" s="98">
        <v>0</v>
      </c>
      <c r="T24" s="98">
        <v>0</v>
      </c>
      <c r="U24" s="98">
        <v>0</v>
      </c>
      <c r="V24" s="98">
        <v>0</v>
      </c>
      <c r="W24" s="98">
        <f t="shared" si="0"/>
        <v>0</v>
      </c>
      <c r="X24" s="98">
        <f t="shared" si="1"/>
        <v>0</v>
      </c>
      <c r="Y24" s="99">
        <f t="shared" si="2"/>
        <v>0</v>
      </c>
      <c r="AA24" s="110"/>
      <c r="AB24" s="110"/>
    </row>
    <row r="25" spans="1:28">
      <c r="A25" s="57">
        <v>20</v>
      </c>
      <c r="B25" s="58" t="s">
        <v>210</v>
      </c>
      <c r="C25" s="98">
        <v>104</v>
      </c>
      <c r="D25" s="98">
        <v>1112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</v>
      </c>
      <c r="M25" s="98">
        <v>0</v>
      </c>
      <c r="N25" s="98">
        <v>0</v>
      </c>
      <c r="O25" s="98">
        <v>0</v>
      </c>
      <c r="P25" s="98">
        <v>0</v>
      </c>
      <c r="Q25" s="98">
        <v>0</v>
      </c>
      <c r="R25" s="98">
        <v>0</v>
      </c>
      <c r="S25" s="98">
        <v>0</v>
      </c>
      <c r="T25" s="98">
        <v>0</v>
      </c>
      <c r="U25" s="98">
        <v>0</v>
      </c>
      <c r="V25" s="98">
        <v>0</v>
      </c>
      <c r="W25" s="98">
        <f t="shared" si="0"/>
        <v>0</v>
      </c>
      <c r="X25" s="98">
        <f t="shared" si="1"/>
        <v>0</v>
      </c>
      <c r="Y25" s="99">
        <f t="shared" si="2"/>
        <v>0</v>
      </c>
      <c r="AA25" s="110"/>
      <c r="AB25" s="110"/>
    </row>
    <row r="26" spans="1:28">
      <c r="A26" s="57">
        <v>21</v>
      </c>
      <c r="B26" s="58" t="s">
        <v>211</v>
      </c>
      <c r="C26" s="98">
        <v>377</v>
      </c>
      <c r="D26" s="98">
        <v>2598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98">
        <v>0</v>
      </c>
      <c r="R26" s="98">
        <v>0</v>
      </c>
      <c r="S26" s="98">
        <v>0</v>
      </c>
      <c r="T26" s="98">
        <v>0</v>
      </c>
      <c r="U26" s="98">
        <v>0</v>
      </c>
      <c r="V26" s="98">
        <v>0</v>
      </c>
      <c r="W26" s="98">
        <f t="shared" si="0"/>
        <v>0</v>
      </c>
      <c r="X26" s="98">
        <f t="shared" si="1"/>
        <v>0</v>
      </c>
      <c r="Y26" s="99">
        <f t="shared" si="2"/>
        <v>0</v>
      </c>
      <c r="AA26" s="110"/>
      <c r="AB26" s="110"/>
    </row>
    <row r="27" spans="1:28" s="107" customFormat="1">
      <c r="A27" s="57">
        <v>22</v>
      </c>
      <c r="B27" s="58" t="s">
        <v>70</v>
      </c>
      <c r="C27" s="98">
        <v>5819</v>
      </c>
      <c r="D27" s="98">
        <f>91453-41394</f>
        <v>50059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98">
        <v>1046</v>
      </c>
      <c r="P27" s="98">
        <v>8111</v>
      </c>
      <c r="Q27" s="98">
        <v>3401</v>
      </c>
      <c r="R27" s="98">
        <v>81548</v>
      </c>
      <c r="S27" s="98">
        <v>64815</v>
      </c>
      <c r="T27" s="98">
        <v>407314</v>
      </c>
      <c r="U27" s="98">
        <v>16347</v>
      </c>
      <c r="V27" s="98">
        <v>37271</v>
      </c>
      <c r="W27" s="98">
        <f t="shared" si="0"/>
        <v>85609</v>
      </c>
      <c r="X27" s="98">
        <f t="shared" si="1"/>
        <v>534244</v>
      </c>
      <c r="Y27" s="99">
        <f t="shared" si="2"/>
        <v>1067.2286701692003</v>
      </c>
      <c r="AA27" s="110"/>
      <c r="AB27" s="110"/>
    </row>
    <row r="28" spans="1:28">
      <c r="A28" s="57">
        <v>23</v>
      </c>
      <c r="B28" s="58" t="s">
        <v>65</v>
      </c>
      <c r="C28" s="98">
        <v>1249</v>
      </c>
      <c r="D28" s="98">
        <v>3243</v>
      </c>
      <c r="E28" s="98">
        <v>0</v>
      </c>
      <c r="F28" s="98">
        <v>0</v>
      </c>
      <c r="G28" s="98">
        <v>139</v>
      </c>
      <c r="H28" s="98">
        <v>450</v>
      </c>
      <c r="I28" s="98">
        <v>28</v>
      </c>
      <c r="J28" s="98">
        <v>1265</v>
      </c>
      <c r="K28" s="98">
        <v>2</v>
      </c>
      <c r="L28" s="98">
        <v>863</v>
      </c>
      <c r="M28" s="98">
        <v>169</v>
      </c>
      <c r="N28" s="98">
        <v>2578</v>
      </c>
      <c r="O28" s="98">
        <v>7</v>
      </c>
      <c r="P28" s="98">
        <v>38</v>
      </c>
      <c r="Q28" s="98">
        <v>312</v>
      </c>
      <c r="R28" s="98">
        <v>3300</v>
      </c>
      <c r="S28" s="98">
        <v>5595</v>
      </c>
      <c r="T28" s="98">
        <v>7987</v>
      </c>
      <c r="U28" s="98">
        <v>10238</v>
      </c>
      <c r="V28" s="98">
        <v>61282</v>
      </c>
      <c r="W28" s="98">
        <f t="shared" si="0"/>
        <v>16321</v>
      </c>
      <c r="X28" s="98">
        <f t="shared" si="1"/>
        <v>75185</v>
      </c>
      <c r="Y28" s="99">
        <f t="shared" si="2"/>
        <v>2318.3780450200434</v>
      </c>
      <c r="AA28" s="110"/>
      <c r="AB28" s="110"/>
    </row>
    <row r="29" spans="1:28">
      <c r="A29" s="57">
        <v>24</v>
      </c>
      <c r="B29" s="58" t="s">
        <v>212</v>
      </c>
      <c r="C29" s="98">
        <v>2492</v>
      </c>
      <c r="D29" s="98">
        <v>8380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50</v>
      </c>
      <c r="L29" s="98">
        <v>9682</v>
      </c>
      <c r="M29" s="98">
        <v>50</v>
      </c>
      <c r="N29" s="98">
        <v>9682</v>
      </c>
      <c r="O29" s="98">
        <v>3</v>
      </c>
      <c r="P29" s="98">
        <v>8</v>
      </c>
      <c r="Q29" s="98">
        <v>11</v>
      </c>
      <c r="R29" s="98">
        <v>382</v>
      </c>
      <c r="S29" s="98">
        <v>367</v>
      </c>
      <c r="T29" s="98">
        <v>1447</v>
      </c>
      <c r="U29" s="98">
        <v>3036</v>
      </c>
      <c r="V29" s="98">
        <v>31846</v>
      </c>
      <c r="W29" s="98">
        <f t="shared" si="0"/>
        <v>3467</v>
      </c>
      <c r="X29" s="98">
        <f t="shared" si="1"/>
        <v>43365</v>
      </c>
      <c r="Y29" s="99">
        <f t="shared" si="2"/>
        <v>517.48210023866352</v>
      </c>
      <c r="AA29" s="110"/>
      <c r="AB29" s="110"/>
    </row>
    <row r="30" spans="1:28">
      <c r="A30" s="57">
        <v>25</v>
      </c>
      <c r="B30" s="58" t="s">
        <v>66</v>
      </c>
      <c r="C30" s="98">
        <v>2625</v>
      </c>
      <c r="D30" s="98">
        <v>14949</v>
      </c>
      <c r="E30" s="98">
        <v>0</v>
      </c>
      <c r="F30" s="98">
        <v>0</v>
      </c>
      <c r="G30" s="98">
        <v>0</v>
      </c>
      <c r="H30" s="98">
        <v>0</v>
      </c>
      <c r="I30" s="98">
        <v>198</v>
      </c>
      <c r="J30" s="98">
        <v>39853</v>
      </c>
      <c r="K30" s="98">
        <v>9</v>
      </c>
      <c r="L30" s="98">
        <v>3614</v>
      </c>
      <c r="M30" s="98">
        <v>207</v>
      </c>
      <c r="N30" s="98">
        <v>43467</v>
      </c>
      <c r="O30" s="98">
        <v>142</v>
      </c>
      <c r="P30" s="98">
        <v>232</v>
      </c>
      <c r="Q30" s="98">
        <v>1611</v>
      </c>
      <c r="R30" s="98">
        <v>6532</v>
      </c>
      <c r="S30" s="98">
        <v>1907</v>
      </c>
      <c r="T30" s="98">
        <v>6504</v>
      </c>
      <c r="U30" s="98">
        <v>2719</v>
      </c>
      <c r="V30" s="98">
        <v>119623</v>
      </c>
      <c r="W30" s="98">
        <f t="shared" si="0"/>
        <v>6586</v>
      </c>
      <c r="X30" s="98">
        <f t="shared" si="1"/>
        <v>176358</v>
      </c>
      <c r="Y30" s="99">
        <f t="shared" si="2"/>
        <v>1179.7310856913507</v>
      </c>
      <c r="AA30" s="110"/>
      <c r="AB30" s="110"/>
    </row>
    <row r="31" spans="1:28">
      <c r="A31" s="57">
        <v>26</v>
      </c>
      <c r="B31" s="175" t="s">
        <v>67</v>
      </c>
      <c r="C31" s="98">
        <v>183</v>
      </c>
      <c r="D31" s="98">
        <v>1268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98">
        <v>0</v>
      </c>
      <c r="K31" s="98">
        <v>0</v>
      </c>
      <c r="L31" s="98">
        <v>0</v>
      </c>
      <c r="M31" s="98">
        <v>0</v>
      </c>
      <c r="N31" s="98">
        <v>0</v>
      </c>
      <c r="O31" s="98">
        <v>0</v>
      </c>
      <c r="P31" s="98">
        <v>0</v>
      </c>
      <c r="Q31" s="98">
        <v>0</v>
      </c>
      <c r="R31" s="98">
        <v>0</v>
      </c>
      <c r="S31" s="98">
        <v>0</v>
      </c>
      <c r="T31" s="98">
        <v>0</v>
      </c>
      <c r="U31" s="98">
        <v>106</v>
      </c>
      <c r="V31" s="98">
        <v>1280</v>
      </c>
      <c r="W31" s="98">
        <f t="shared" si="0"/>
        <v>106</v>
      </c>
      <c r="X31" s="98">
        <f t="shared" si="1"/>
        <v>1280</v>
      </c>
      <c r="Y31" s="99">
        <f t="shared" si="2"/>
        <v>100.94637223974763</v>
      </c>
      <c r="AA31" s="110"/>
      <c r="AB31" s="110"/>
    </row>
    <row r="32" spans="1:28">
      <c r="A32" s="57">
        <v>27</v>
      </c>
      <c r="B32" s="58" t="s">
        <v>50</v>
      </c>
      <c r="C32" s="98">
        <v>742</v>
      </c>
      <c r="D32" s="98">
        <v>967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2</v>
      </c>
      <c r="L32" s="98">
        <v>996.17</v>
      </c>
      <c r="M32" s="98">
        <v>2</v>
      </c>
      <c r="N32" s="98">
        <v>996.17</v>
      </c>
      <c r="O32" s="98">
        <v>0</v>
      </c>
      <c r="P32" s="98">
        <v>0</v>
      </c>
      <c r="Q32" s="98">
        <v>0</v>
      </c>
      <c r="R32" s="98">
        <v>0</v>
      </c>
      <c r="S32" s="98">
        <v>145</v>
      </c>
      <c r="T32" s="98">
        <v>1250</v>
      </c>
      <c r="U32" s="98">
        <v>2754</v>
      </c>
      <c r="V32" s="98">
        <v>18652.830000000002</v>
      </c>
      <c r="W32" s="98">
        <f t="shared" si="0"/>
        <v>2901</v>
      </c>
      <c r="X32" s="98">
        <f t="shared" si="1"/>
        <v>20899</v>
      </c>
      <c r="Y32" s="99">
        <f t="shared" si="2"/>
        <v>2161.2202688728025</v>
      </c>
      <c r="AA32" s="110"/>
      <c r="AB32" s="110"/>
    </row>
    <row r="33" spans="1:28" s="107" customFormat="1">
      <c r="A33" s="317"/>
      <c r="B33" s="59" t="s">
        <v>213</v>
      </c>
      <c r="C33" s="105">
        <f>SUM(C6:C32)</f>
        <v>45762</v>
      </c>
      <c r="D33" s="105">
        <f t="shared" ref="D33:V33" si="3">SUM(D6:D32)</f>
        <v>245412</v>
      </c>
      <c r="E33" s="105">
        <f t="shared" si="3"/>
        <v>5816</v>
      </c>
      <c r="F33" s="105">
        <f t="shared" si="3"/>
        <v>96444.3</v>
      </c>
      <c r="G33" s="105">
        <f t="shared" si="3"/>
        <v>637</v>
      </c>
      <c r="H33" s="105">
        <f t="shared" si="3"/>
        <v>34017.94</v>
      </c>
      <c r="I33" s="105">
        <f t="shared" si="3"/>
        <v>466</v>
      </c>
      <c r="J33" s="105">
        <f t="shared" si="3"/>
        <v>84355.010000000009</v>
      </c>
      <c r="K33" s="105">
        <f t="shared" si="3"/>
        <v>192</v>
      </c>
      <c r="L33" s="105">
        <f t="shared" si="3"/>
        <v>39953.899999999994</v>
      </c>
      <c r="M33" s="105">
        <f t="shared" ref="M33" si="4">SUM(M6:M32)</f>
        <v>1295</v>
      </c>
      <c r="N33" s="105">
        <f t="shared" ref="N33" si="5">SUM(N6:N32)</f>
        <v>158326.85</v>
      </c>
      <c r="O33" s="105">
        <f t="shared" si="3"/>
        <v>1512</v>
      </c>
      <c r="P33" s="105">
        <f t="shared" si="3"/>
        <v>12600.91</v>
      </c>
      <c r="Q33" s="105">
        <f t="shared" si="3"/>
        <v>13023</v>
      </c>
      <c r="R33" s="105">
        <f t="shared" si="3"/>
        <v>161273.44</v>
      </c>
      <c r="S33" s="105">
        <f t="shared" si="3"/>
        <v>97828</v>
      </c>
      <c r="T33" s="105">
        <f t="shared" si="3"/>
        <v>529840.31000000006</v>
      </c>
      <c r="U33" s="105">
        <f t="shared" si="3"/>
        <v>55343</v>
      </c>
      <c r="V33" s="105">
        <f t="shared" si="3"/>
        <v>605183.24</v>
      </c>
      <c r="W33" s="105">
        <f t="shared" ref="W33" si="6">SUM(W6:W32)</f>
        <v>174817</v>
      </c>
      <c r="X33" s="105">
        <f t="shared" ref="X33" si="7">SUM(X6:X32)</f>
        <v>1563669.05</v>
      </c>
      <c r="Y33" s="96">
        <f t="shared" si="2"/>
        <v>637.16079490815446</v>
      </c>
      <c r="AA33" s="110"/>
      <c r="AB33" s="110"/>
    </row>
    <row r="34" spans="1:28" s="107" customFormat="1">
      <c r="A34" s="57">
        <v>28</v>
      </c>
      <c r="B34" s="58" t="s">
        <v>47</v>
      </c>
      <c r="C34" s="98">
        <v>1790</v>
      </c>
      <c r="D34" s="98">
        <v>9603</v>
      </c>
      <c r="E34" s="98">
        <v>8</v>
      </c>
      <c r="F34" s="98">
        <v>3.44</v>
      </c>
      <c r="G34" s="98">
        <v>45</v>
      </c>
      <c r="H34" s="98">
        <v>564.84</v>
      </c>
      <c r="I34" s="98">
        <v>6</v>
      </c>
      <c r="J34" s="98">
        <v>212.77</v>
      </c>
      <c r="K34" s="98">
        <v>56</v>
      </c>
      <c r="L34" s="98">
        <v>4871.34</v>
      </c>
      <c r="M34" s="98">
        <v>107</v>
      </c>
      <c r="N34" s="98">
        <v>5648.95</v>
      </c>
      <c r="O34" s="98">
        <v>6</v>
      </c>
      <c r="P34" s="98">
        <v>43.65</v>
      </c>
      <c r="Q34" s="98">
        <v>835</v>
      </c>
      <c r="R34" s="98">
        <v>22601.48</v>
      </c>
      <c r="S34" s="98">
        <v>1941</v>
      </c>
      <c r="T34" s="98">
        <v>21881.66</v>
      </c>
      <c r="U34" s="98">
        <v>12738</v>
      </c>
      <c r="V34" s="98">
        <v>48969.36</v>
      </c>
      <c r="W34" s="98">
        <f t="shared" ref="W34:W55" si="8">U34+S34+Q34+O34+M34+E34</f>
        <v>15635</v>
      </c>
      <c r="X34" s="98">
        <f t="shared" ref="X34:X55" si="9">V34+T34+R34+P34+N34+F34</f>
        <v>99148.54</v>
      </c>
      <c r="Y34" s="99">
        <f t="shared" si="2"/>
        <v>1032.4746433406228</v>
      </c>
      <c r="AA34" s="110"/>
      <c r="AB34" s="110"/>
    </row>
    <row r="35" spans="1:28">
      <c r="A35" s="57">
        <v>29</v>
      </c>
      <c r="B35" s="58" t="s">
        <v>214</v>
      </c>
      <c r="C35" s="98">
        <v>32</v>
      </c>
      <c r="D35" s="98">
        <v>106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  <c r="N35" s="98">
        <v>0</v>
      </c>
      <c r="O35" s="98">
        <v>0</v>
      </c>
      <c r="P35" s="98">
        <v>0</v>
      </c>
      <c r="Q35" s="98">
        <v>0</v>
      </c>
      <c r="R35" s="98">
        <v>0</v>
      </c>
      <c r="S35" s="98">
        <v>0</v>
      </c>
      <c r="T35" s="98">
        <v>0</v>
      </c>
      <c r="U35" s="98">
        <v>18648</v>
      </c>
      <c r="V35" s="98">
        <v>3279.41</v>
      </c>
      <c r="W35" s="98">
        <f t="shared" si="8"/>
        <v>18648</v>
      </c>
      <c r="X35" s="98">
        <f t="shared" si="9"/>
        <v>3279.41</v>
      </c>
      <c r="Y35" s="99">
        <f t="shared" si="2"/>
        <v>3093.7830188679245</v>
      </c>
      <c r="AA35" s="110"/>
      <c r="AB35" s="110"/>
    </row>
    <row r="36" spans="1:28">
      <c r="A36" s="57">
        <v>30</v>
      </c>
      <c r="B36" s="58" t="s">
        <v>215</v>
      </c>
      <c r="C36" s="98">
        <v>0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8">
        <v>0</v>
      </c>
      <c r="K36" s="98">
        <v>0</v>
      </c>
      <c r="L36" s="98">
        <v>0</v>
      </c>
      <c r="M36" s="98">
        <v>0</v>
      </c>
      <c r="N36" s="98">
        <v>0</v>
      </c>
      <c r="O36" s="98">
        <v>0</v>
      </c>
      <c r="P36" s="98">
        <v>0</v>
      </c>
      <c r="Q36" s="98">
        <v>0</v>
      </c>
      <c r="R36" s="98">
        <v>0</v>
      </c>
      <c r="S36" s="98">
        <v>0</v>
      </c>
      <c r="T36" s="98">
        <v>0</v>
      </c>
      <c r="U36" s="98">
        <v>0</v>
      </c>
      <c r="V36" s="98">
        <v>0</v>
      </c>
      <c r="W36" s="98">
        <f t="shared" si="8"/>
        <v>0</v>
      </c>
      <c r="X36" s="98">
        <f t="shared" si="9"/>
        <v>0</v>
      </c>
      <c r="Y36" s="99">
        <v>0</v>
      </c>
      <c r="AA36" s="110"/>
      <c r="AB36" s="110"/>
    </row>
    <row r="37" spans="1:28">
      <c r="A37" s="57">
        <v>31</v>
      </c>
      <c r="B37" s="58" t="s">
        <v>78</v>
      </c>
      <c r="C37" s="98">
        <v>0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v>0</v>
      </c>
      <c r="O37" s="98">
        <v>0</v>
      </c>
      <c r="P37" s="98">
        <v>0</v>
      </c>
      <c r="Q37" s="98">
        <v>0</v>
      </c>
      <c r="R37" s="98">
        <v>0</v>
      </c>
      <c r="S37" s="98">
        <v>0</v>
      </c>
      <c r="T37" s="98">
        <v>0</v>
      </c>
      <c r="U37" s="98">
        <v>0</v>
      </c>
      <c r="V37" s="98">
        <v>0</v>
      </c>
      <c r="W37" s="98">
        <f t="shared" si="8"/>
        <v>0</v>
      </c>
      <c r="X37" s="98">
        <f t="shared" si="9"/>
        <v>0</v>
      </c>
      <c r="Y37" s="99">
        <v>0</v>
      </c>
      <c r="AA37" s="110"/>
      <c r="AB37" s="110"/>
    </row>
    <row r="38" spans="1:28">
      <c r="A38" s="57">
        <v>32</v>
      </c>
      <c r="B38" s="58" t="s">
        <v>51</v>
      </c>
      <c r="C38" s="98">
        <v>4</v>
      </c>
      <c r="D38" s="98">
        <v>35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3</v>
      </c>
      <c r="L38" s="98">
        <v>125</v>
      </c>
      <c r="M38" s="98">
        <v>3</v>
      </c>
      <c r="N38" s="98">
        <v>125</v>
      </c>
      <c r="O38" s="98">
        <v>0</v>
      </c>
      <c r="P38" s="98">
        <v>0</v>
      </c>
      <c r="Q38" s="98">
        <v>3</v>
      </c>
      <c r="R38" s="98">
        <v>94.29</v>
      </c>
      <c r="S38" s="98">
        <v>80</v>
      </c>
      <c r="T38" s="98">
        <v>48.28</v>
      </c>
      <c r="U38" s="98">
        <v>5</v>
      </c>
      <c r="V38" s="98">
        <v>262</v>
      </c>
      <c r="W38" s="98">
        <f t="shared" si="8"/>
        <v>91</v>
      </c>
      <c r="X38" s="98">
        <f t="shared" si="9"/>
        <v>529.56999999999994</v>
      </c>
      <c r="Y38" s="99">
        <f t="shared" ref="Y38:Y43" si="10">X38*100/D38</f>
        <v>1513.0571428571427</v>
      </c>
      <c r="AA38" s="110"/>
      <c r="AB38" s="110"/>
    </row>
    <row r="39" spans="1:28">
      <c r="A39" s="57">
        <v>33</v>
      </c>
      <c r="B39" s="58" t="s">
        <v>216</v>
      </c>
      <c r="C39" s="98">
        <v>4</v>
      </c>
      <c r="D39" s="98">
        <v>11</v>
      </c>
      <c r="E39" s="98">
        <v>4</v>
      </c>
      <c r="F39" s="98">
        <v>0.27</v>
      </c>
      <c r="G39" s="98">
        <v>0</v>
      </c>
      <c r="H39" s="98">
        <v>0</v>
      </c>
      <c r="I39" s="98">
        <v>20</v>
      </c>
      <c r="J39" s="98">
        <v>497.41</v>
      </c>
      <c r="K39" s="98">
        <v>16</v>
      </c>
      <c r="L39" s="98">
        <v>103.3</v>
      </c>
      <c r="M39" s="98">
        <v>36</v>
      </c>
      <c r="N39" s="98">
        <v>600.71</v>
      </c>
      <c r="O39" s="98">
        <v>0</v>
      </c>
      <c r="P39" s="98">
        <v>0</v>
      </c>
      <c r="Q39" s="98">
        <v>28</v>
      </c>
      <c r="R39" s="98">
        <v>619.66</v>
      </c>
      <c r="S39" s="98">
        <v>0</v>
      </c>
      <c r="T39" s="98">
        <v>0</v>
      </c>
      <c r="U39" s="98">
        <v>261</v>
      </c>
      <c r="V39" s="98">
        <v>1479.34</v>
      </c>
      <c r="W39" s="98">
        <f t="shared" si="8"/>
        <v>329</v>
      </c>
      <c r="X39" s="98">
        <f t="shared" si="9"/>
        <v>2699.98</v>
      </c>
      <c r="Y39" s="99">
        <f t="shared" si="10"/>
        <v>24545.272727272728</v>
      </c>
      <c r="AA39" s="110"/>
      <c r="AB39" s="110"/>
    </row>
    <row r="40" spans="1:28">
      <c r="A40" s="57">
        <v>34</v>
      </c>
      <c r="B40" s="58" t="s">
        <v>217</v>
      </c>
      <c r="C40" s="98">
        <v>6</v>
      </c>
      <c r="D40" s="98">
        <v>71</v>
      </c>
      <c r="E40" s="98">
        <v>0</v>
      </c>
      <c r="F40" s="98">
        <v>0</v>
      </c>
      <c r="G40" s="98">
        <v>0</v>
      </c>
      <c r="H40" s="98">
        <v>0</v>
      </c>
      <c r="I40" s="98">
        <v>0</v>
      </c>
      <c r="J40" s="98">
        <v>0</v>
      </c>
      <c r="K40" s="98">
        <v>0</v>
      </c>
      <c r="L40" s="98">
        <v>0</v>
      </c>
      <c r="M40" s="98">
        <v>0</v>
      </c>
      <c r="N40" s="98">
        <v>0</v>
      </c>
      <c r="O40" s="98">
        <v>0</v>
      </c>
      <c r="P40" s="98">
        <v>0</v>
      </c>
      <c r="Q40" s="98">
        <v>0</v>
      </c>
      <c r="R40" s="98">
        <v>0</v>
      </c>
      <c r="S40" s="98">
        <v>0</v>
      </c>
      <c r="T40" s="98">
        <v>0</v>
      </c>
      <c r="U40" s="98">
        <v>0</v>
      </c>
      <c r="V40" s="98">
        <v>0</v>
      </c>
      <c r="W40" s="98">
        <f t="shared" si="8"/>
        <v>0</v>
      </c>
      <c r="X40" s="98">
        <f t="shared" si="9"/>
        <v>0</v>
      </c>
      <c r="Y40" s="99">
        <f t="shared" si="10"/>
        <v>0</v>
      </c>
      <c r="AA40" s="110"/>
      <c r="AB40" s="110"/>
    </row>
    <row r="41" spans="1:28">
      <c r="A41" s="57">
        <v>35</v>
      </c>
      <c r="B41" s="58" t="s">
        <v>218</v>
      </c>
      <c r="C41" s="98">
        <v>98</v>
      </c>
      <c r="D41" s="98">
        <v>1128</v>
      </c>
      <c r="E41" s="98">
        <v>0</v>
      </c>
      <c r="F41" s="98">
        <v>0</v>
      </c>
      <c r="G41" s="98">
        <v>1</v>
      </c>
      <c r="H41" s="98">
        <v>4800</v>
      </c>
      <c r="I41" s="98">
        <v>0</v>
      </c>
      <c r="J41" s="98">
        <v>0</v>
      </c>
      <c r="K41" s="98">
        <v>0</v>
      </c>
      <c r="L41" s="98">
        <v>0</v>
      </c>
      <c r="M41" s="98">
        <v>1</v>
      </c>
      <c r="N41" s="98">
        <v>4800</v>
      </c>
      <c r="O41" s="98">
        <v>0</v>
      </c>
      <c r="P41" s="98">
        <v>0</v>
      </c>
      <c r="Q41" s="98">
        <v>24</v>
      </c>
      <c r="R41" s="98">
        <v>610</v>
      </c>
      <c r="S41" s="98">
        <v>12</v>
      </c>
      <c r="T41" s="98">
        <v>32</v>
      </c>
      <c r="U41" s="98">
        <v>3209</v>
      </c>
      <c r="V41" s="98">
        <v>5679</v>
      </c>
      <c r="W41" s="98">
        <f t="shared" si="8"/>
        <v>3246</v>
      </c>
      <c r="X41" s="98">
        <f t="shared" si="9"/>
        <v>11121</v>
      </c>
      <c r="Y41" s="99">
        <f t="shared" si="10"/>
        <v>985.90425531914889</v>
      </c>
      <c r="AA41" s="110"/>
      <c r="AB41" s="110"/>
    </row>
    <row r="42" spans="1:28">
      <c r="A42" s="57">
        <v>36</v>
      </c>
      <c r="B42" s="58" t="s">
        <v>71</v>
      </c>
      <c r="C42" s="98">
        <v>2059</v>
      </c>
      <c r="D42" s="98">
        <v>30713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8">
        <v>0</v>
      </c>
      <c r="K42" s="98">
        <v>0</v>
      </c>
      <c r="L42" s="98">
        <v>0</v>
      </c>
      <c r="M42" s="98">
        <v>0</v>
      </c>
      <c r="N42" s="98">
        <v>0</v>
      </c>
      <c r="O42" s="98">
        <v>48</v>
      </c>
      <c r="P42" s="98">
        <v>61.63</v>
      </c>
      <c r="Q42" s="98">
        <v>0</v>
      </c>
      <c r="R42" s="98">
        <v>0</v>
      </c>
      <c r="S42" s="98">
        <v>16021</v>
      </c>
      <c r="T42" s="98">
        <v>45480.73</v>
      </c>
      <c r="U42" s="98">
        <v>67389</v>
      </c>
      <c r="V42" s="98">
        <v>474662.39</v>
      </c>
      <c r="W42" s="98">
        <f t="shared" si="8"/>
        <v>83458</v>
      </c>
      <c r="X42" s="98">
        <f t="shared" si="9"/>
        <v>520204.75</v>
      </c>
      <c r="Y42" s="99">
        <f t="shared" si="10"/>
        <v>1693.7607853352001</v>
      </c>
      <c r="AA42" s="110"/>
      <c r="AB42" s="110"/>
    </row>
    <row r="43" spans="1:28">
      <c r="A43" s="57">
        <v>37</v>
      </c>
      <c r="B43" s="58" t="s">
        <v>72</v>
      </c>
      <c r="C43" s="98">
        <v>2523</v>
      </c>
      <c r="D43" s="98">
        <v>33233</v>
      </c>
      <c r="E43" s="98">
        <v>0</v>
      </c>
      <c r="F43" s="98">
        <v>0</v>
      </c>
      <c r="G43" s="98">
        <v>2340</v>
      </c>
      <c r="H43" s="98">
        <v>1561</v>
      </c>
      <c r="I43" s="98">
        <v>16</v>
      </c>
      <c r="J43" s="98">
        <v>2913</v>
      </c>
      <c r="K43" s="98">
        <v>7</v>
      </c>
      <c r="L43" s="98">
        <v>5509</v>
      </c>
      <c r="M43" s="98">
        <v>2363</v>
      </c>
      <c r="N43" s="98">
        <v>9983</v>
      </c>
      <c r="O43" s="98">
        <v>0</v>
      </c>
      <c r="P43" s="98">
        <v>0</v>
      </c>
      <c r="Q43" s="98">
        <v>716</v>
      </c>
      <c r="R43" s="98">
        <v>26901</v>
      </c>
      <c r="S43" s="98">
        <v>0</v>
      </c>
      <c r="T43" s="98">
        <v>0</v>
      </c>
      <c r="U43" s="98">
        <v>44945</v>
      </c>
      <c r="V43" s="98">
        <v>241434</v>
      </c>
      <c r="W43" s="98">
        <f t="shared" si="8"/>
        <v>48024</v>
      </c>
      <c r="X43" s="98">
        <f t="shared" si="9"/>
        <v>278318</v>
      </c>
      <c r="Y43" s="99">
        <f t="shared" si="10"/>
        <v>837.47479914542771</v>
      </c>
      <c r="AA43" s="110"/>
      <c r="AB43" s="110"/>
    </row>
    <row r="44" spans="1:28">
      <c r="A44" s="57">
        <v>38</v>
      </c>
      <c r="B44" s="58" t="s">
        <v>219</v>
      </c>
      <c r="C44" s="98">
        <v>0</v>
      </c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  <c r="J44" s="98">
        <v>0</v>
      </c>
      <c r="K44" s="98">
        <v>0</v>
      </c>
      <c r="L44" s="98">
        <v>0</v>
      </c>
      <c r="M44" s="98">
        <v>0</v>
      </c>
      <c r="N44" s="98">
        <v>0</v>
      </c>
      <c r="O44" s="98">
        <v>0</v>
      </c>
      <c r="P44" s="98">
        <v>0</v>
      </c>
      <c r="Q44" s="98">
        <v>0</v>
      </c>
      <c r="R44" s="98">
        <v>0</v>
      </c>
      <c r="S44" s="98">
        <v>0</v>
      </c>
      <c r="T44" s="98">
        <v>0</v>
      </c>
      <c r="U44" s="98">
        <v>2780</v>
      </c>
      <c r="V44" s="98">
        <v>1187.876</v>
      </c>
      <c r="W44" s="98">
        <f t="shared" si="8"/>
        <v>2780</v>
      </c>
      <c r="X44" s="98">
        <f t="shared" si="9"/>
        <v>1187.876</v>
      </c>
      <c r="Y44" s="99">
        <v>0</v>
      </c>
      <c r="AA44" s="110"/>
      <c r="AB44" s="110"/>
    </row>
    <row r="45" spans="1:28">
      <c r="A45" s="57">
        <v>39</v>
      </c>
      <c r="B45" s="58" t="s">
        <v>220</v>
      </c>
      <c r="C45" s="98">
        <v>217</v>
      </c>
      <c r="D45" s="98">
        <v>1186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8">
        <v>18</v>
      </c>
      <c r="L45" s="98">
        <v>1194.8399999999999</v>
      </c>
      <c r="M45" s="98">
        <v>18</v>
      </c>
      <c r="N45" s="98">
        <v>1194.8399999999999</v>
      </c>
      <c r="O45" s="98">
        <v>0</v>
      </c>
      <c r="P45" s="98">
        <v>0</v>
      </c>
      <c r="Q45" s="98">
        <v>0</v>
      </c>
      <c r="R45" s="98">
        <v>0</v>
      </c>
      <c r="S45" s="98">
        <v>0</v>
      </c>
      <c r="T45" s="98">
        <v>0</v>
      </c>
      <c r="U45" s="98">
        <v>12136</v>
      </c>
      <c r="V45" s="98">
        <v>80157.899999999994</v>
      </c>
      <c r="W45" s="98">
        <f t="shared" si="8"/>
        <v>12154</v>
      </c>
      <c r="X45" s="98">
        <f t="shared" si="9"/>
        <v>81352.739999999991</v>
      </c>
      <c r="Y45" s="99">
        <f t="shared" ref="Y45:Y51" si="11">X45*100/D45</f>
        <v>6859.4215851602012</v>
      </c>
      <c r="AA45" s="110"/>
      <c r="AB45" s="110"/>
    </row>
    <row r="46" spans="1:28">
      <c r="A46" s="57">
        <v>40</v>
      </c>
      <c r="B46" s="58" t="s">
        <v>221</v>
      </c>
      <c r="C46" s="98">
        <v>16</v>
      </c>
      <c r="D46" s="98">
        <v>175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8">
        <v>0</v>
      </c>
      <c r="K46" s="98">
        <v>0</v>
      </c>
      <c r="L46" s="98">
        <v>0</v>
      </c>
      <c r="M46" s="98">
        <v>0</v>
      </c>
      <c r="N46" s="98">
        <v>0</v>
      </c>
      <c r="O46" s="98">
        <v>0</v>
      </c>
      <c r="P46" s="98">
        <v>0</v>
      </c>
      <c r="Q46" s="98">
        <v>0</v>
      </c>
      <c r="R46" s="98">
        <v>0</v>
      </c>
      <c r="S46" s="98">
        <v>10</v>
      </c>
      <c r="T46" s="98">
        <v>39</v>
      </c>
      <c r="U46" s="98">
        <v>0</v>
      </c>
      <c r="V46" s="98">
        <v>0</v>
      </c>
      <c r="W46" s="98">
        <f t="shared" si="8"/>
        <v>10</v>
      </c>
      <c r="X46" s="98">
        <f t="shared" si="9"/>
        <v>39</v>
      </c>
      <c r="Y46" s="99">
        <f t="shared" si="11"/>
        <v>22.285714285714285</v>
      </c>
      <c r="AA46" s="110"/>
      <c r="AB46" s="110"/>
    </row>
    <row r="47" spans="1:28">
      <c r="A47" s="57">
        <v>41</v>
      </c>
      <c r="B47" s="58" t="s">
        <v>222</v>
      </c>
      <c r="C47" s="98">
        <v>9</v>
      </c>
      <c r="D47" s="98">
        <v>93</v>
      </c>
      <c r="E47" s="98">
        <v>0</v>
      </c>
      <c r="F47" s="98">
        <v>0</v>
      </c>
      <c r="G47" s="98">
        <v>0</v>
      </c>
      <c r="H47" s="98">
        <v>0</v>
      </c>
      <c r="I47" s="98">
        <v>6</v>
      </c>
      <c r="J47" s="98">
        <v>28.99</v>
      </c>
      <c r="K47" s="98">
        <v>3</v>
      </c>
      <c r="L47" s="98">
        <v>1666.3</v>
      </c>
      <c r="M47" s="98">
        <v>9</v>
      </c>
      <c r="N47" s="98">
        <v>1695.29</v>
      </c>
      <c r="O47" s="98">
        <v>0</v>
      </c>
      <c r="P47" s="98">
        <v>0</v>
      </c>
      <c r="Q47" s="98">
        <v>8</v>
      </c>
      <c r="R47" s="98">
        <v>427.89</v>
      </c>
      <c r="S47" s="98">
        <v>10</v>
      </c>
      <c r="T47" s="98">
        <v>94</v>
      </c>
      <c r="U47" s="98">
        <v>55</v>
      </c>
      <c r="V47" s="98">
        <v>519.11</v>
      </c>
      <c r="W47" s="98">
        <f t="shared" si="8"/>
        <v>82</v>
      </c>
      <c r="X47" s="98">
        <f t="shared" si="9"/>
        <v>2736.29</v>
      </c>
      <c r="Y47" s="99">
        <f t="shared" si="11"/>
        <v>2942.2473118279568</v>
      </c>
      <c r="AA47" s="110"/>
      <c r="AB47" s="110"/>
    </row>
    <row r="48" spans="1:28">
      <c r="A48" s="57">
        <v>42</v>
      </c>
      <c r="B48" s="58" t="s">
        <v>223</v>
      </c>
      <c r="C48" s="98">
        <v>50</v>
      </c>
      <c r="D48" s="98">
        <v>530</v>
      </c>
      <c r="E48" s="98">
        <v>0</v>
      </c>
      <c r="F48" s="98">
        <v>0</v>
      </c>
      <c r="G48" s="98">
        <v>0</v>
      </c>
      <c r="H48" s="98">
        <v>0</v>
      </c>
      <c r="I48" s="98">
        <v>0</v>
      </c>
      <c r="J48" s="98">
        <v>0</v>
      </c>
      <c r="K48" s="98">
        <v>0</v>
      </c>
      <c r="L48" s="98">
        <v>0</v>
      </c>
      <c r="M48" s="98">
        <v>0</v>
      </c>
      <c r="N48" s="98">
        <v>0</v>
      </c>
      <c r="O48" s="98">
        <v>0</v>
      </c>
      <c r="P48" s="98">
        <v>0</v>
      </c>
      <c r="Q48" s="98">
        <v>0</v>
      </c>
      <c r="R48" s="98">
        <v>0</v>
      </c>
      <c r="S48" s="98">
        <v>0</v>
      </c>
      <c r="T48" s="98">
        <v>0</v>
      </c>
      <c r="U48" s="98">
        <v>0</v>
      </c>
      <c r="V48" s="98">
        <v>0</v>
      </c>
      <c r="W48" s="98">
        <f t="shared" si="8"/>
        <v>0</v>
      </c>
      <c r="X48" s="98">
        <f t="shared" si="9"/>
        <v>0</v>
      </c>
      <c r="Y48" s="99">
        <f t="shared" si="11"/>
        <v>0</v>
      </c>
      <c r="AA48" s="110"/>
      <c r="AB48" s="110"/>
    </row>
    <row r="49" spans="1:28">
      <c r="A49" s="57">
        <v>43</v>
      </c>
      <c r="B49" s="58" t="s">
        <v>73</v>
      </c>
      <c r="C49" s="98">
        <v>75</v>
      </c>
      <c r="D49" s="98">
        <v>701</v>
      </c>
      <c r="E49" s="98">
        <v>0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98">
        <v>0</v>
      </c>
      <c r="N49" s="98">
        <v>0</v>
      </c>
      <c r="O49" s="98">
        <v>0</v>
      </c>
      <c r="P49" s="98">
        <v>0</v>
      </c>
      <c r="Q49" s="98">
        <v>0</v>
      </c>
      <c r="R49" s="98">
        <v>0</v>
      </c>
      <c r="S49" s="98">
        <v>0</v>
      </c>
      <c r="T49" s="98">
        <v>0</v>
      </c>
      <c r="U49" s="98">
        <v>4101</v>
      </c>
      <c r="V49" s="98">
        <v>114073</v>
      </c>
      <c r="W49" s="98">
        <f t="shared" si="8"/>
        <v>4101</v>
      </c>
      <c r="X49" s="98">
        <f t="shared" si="9"/>
        <v>114073</v>
      </c>
      <c r="Y49" s="99">
        <f t="shared" si="11"/>
        <v>16272.895863052781</v>
      </c>
      <c r="AA49" s="110"/>
      <c r="AB49" s="110"/>
    </row>
    <row r="50" spans="1:28">
      <c r="A50" s="57">
        <v>44</v>
      </c>
      <c r="B50" s="58" t="s">
        <v>224</v>
      </c>
      <c r="C50" s="98">
        <v>16</v>
      </c>
      <c r="D50" s="98">
        <v>177</v>
      </c>
      <c r="E50" s="98">
        <v>0</v>
      </c>
      <c r="F50" s="98">
        <v>0</v>
      </c>
      <c r="G50" s="98">
        <v>0</v>
      </c>
      <c r="H50" s="98">
        <v>0</v>
      </c>
      <c r="I50" s="98">
        <v>0</v>
      </c>
      <c r="J50" s="98">
        <v>0</v>
      </c>
      <c r="K50" s="98">
        <v>0</v>
      </c>
      <c r="L50" s="98">
        <v>0</v>
      </c>
      <c r="M50" s="98">
        <v>0</v>
      </c>
      <c r="N50" s="98">
        <v>0</v>
      </c>
      <c r="O50" s="98">
        <v>0</v>
      </c>
      <c r="P50" s="98">
        <v>0</v>
      </c>
      <c r="Q50" s="98">
        <v>0</v>
      </c>
      <c r="R50" s="98">
        <v>0</v>
      </c>
      <c r="S50" s="98">
        <v>0</v>
      </c>
      <c r="T50" s="98">
        <v>0</v>
      </c>
      <c r="U50" s="98">
        <v>0</v>
      </c>
      <c r="V50" s="98">
        <v>0</v>
      </c>
      <c r="W50" s="98">
        <f t="shared" si="8"/>
        <v>0</v>
      </c>
      <c r="X50" s="98">
        <f t="shared" si="9"/>
        <v>0</v>
      </c>
      <c r="Y50" s="99">
        <f t="shared" si="11"/>
        <v>0</v>
      </c>
      <c r="AA50" s="110"/>
      <c r="AB50" s="110"/>
    </row>
    <row r="51" spans="1:28">
      <c r="A51" s="57">
        <v>45</v>
      </c>
      <c r="B51" s="58" t="s">
        <v>225</v>
      </c>
      <c r="C51" s="98">
        <v>4</v>
      </c>
      <c r="D51" s="98">
        <v>11</v>
      </c>
      <c r="E51" s="98">
        <v>38</v>
      </c>
      <c r="F51" s="98">
        <v>319</v>
      </c>
      <c r="G51" s="98">
        <v>0</v>
      </c>
      <c r="H51" s="98">
        <v>0</v>
      </c>
      <c r="I51" s="98">
        <v>0</v>
      </c>
      <c r="J51" s="98">
        <v>0</v>
      </c>
      <c r="K51" s="98">
        <v>2</v>
      </c>
      <c r="L51" s="98">
        <v>500</v>
      </c>
      <c r="M51" s="98">
        <v>2</v>
      </c>
      <c r="N51" s="98">
        <v>500</v>
      </c>
      <c r="O51" s="98">
        <v>0</v>
      </c>
      <c r="P51" s="98">
        <v>0</v>
      </c>
      <c r="Q51" s="98">
        <v>2</v>
      </c>
      <c r="R51" s="98">
        <v>9</v>
      </c>
      <c r="S51" s="98">
        <v>129</v>
      </c>
      <c r="T51" s="98">
        <v>313</v>
      </c>
      <c r="U51" s="98">
        <v>55</v>
      </c>
      <c r="V51" s="98">
        <v>6900</v>
      </c>
      <c r="W51" s="98">
        <f t="shared" si="8"/>
        <v>226</v>
      </c>
      <c r="X51" s="98">
        <f t="shared" si="9"/>
        <v>8041</v>
      </c>
      <c r="Y51" s="99">
        <f t="shared" si="11"/>
        <v>73100</v>
      </c>
      <c r="AA51" s="110"/>
      <c r="AB51" s="110"/>
    </row>
    <row r="52" spans="1:28" s="107" customFormat="1">
      <c r="A52" s="57">
        <v>46</v>
      </c>
      <c r="B52" s="58" t="s">
        <v>226</v>
      </c>
      <c r="C52" s="98">
        <v>12</v>
      </c>
      <c r="D52" s="98">
        <v>145</v>
      </c>
      <c r="E52" s="98">
        <v>2</v>
      </c>
      <c r="F52" s="98">
        <v>6</v>
      </c>
      <c r="G52" s="98">
        <v>4</v>
      </c>
      <c r="H52" s="98">
        <v>15</v>
      </c>
      <c r="I52" s="98">
        <v>4</v>
      </c>
      <c r="J52" s="98">
        <v>65</v>
      </c>
      <c r="K52" s="98">
        <v>2</v>
      </c>
      <c r="L52" s="98">
        <v>22</v>
      </c>
      <c r="M52" s="98">
        <v>10</v>
      </c>
      <c r="N52" s="98">
        <v>102</v>
      </c>
      <c r="O52" s="98">
        <v>1</v>
      </c>
      <c r="P52" s="98">
        <v>2</v>
      </c>
      <c r="Q52" s="98">
        <v>3</v>
      </c>
      <c r="R52" s="98">
        <v>20</v>
      </c>
      <c r="S52" s="98">
        <v>3</v>
      </c>
      <c r="T52" s="98">
        <v>10</v>
      </c>
      <c r="U52" s="98">
        <v>2</v>
      </c>
      <c r="V52" s="98">
        <v>1</v>
      </c>
      <c r="W52" s="98">
        <f t="shared" si="8"/>
        <v>21</v>
      </c>
      <c r="X52" s="98">
        <f t="shared" si="9"/>
        <v>141</v>
      </c>
      <c r="Y52" s="99">
        <v>0</v>
      </c>
      <c r="AA52" s="110"/>
      <c r="AB52" s="110"/>
    </row>
    <row r="53" spans="1:28">
      <c r="A53" s="57">
        <v>47</v>
      </c>
      <c r="B53" s="58" t="s">
        <v>77</v>
      </c>
      <c r="C53" s="98">
        <v>0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98">
        <v>0</v>
      </c>
      <c r="J53" s="98">
        <v>0</v>
      </c>
      <c r="K53" s="98">
        <v>0</v>
      </c>
      <c r="L53" s="98">
        <v>0</v>
      </c>
      <c r="M53" s="98">
        <v>0</v>
      </c>
      <c r="N53" s="98">
        <v>0</v>
      </c>
      <c r="O53" s="98">
        <v>0</v>
      </c>
      <c r="P53" s="98">
        <v>0</v>
      </c>
      <c r="Q53" s="98">
        <v>0</v>
      </c>
      <c r="R53" s="98">
        <v>0</v>
      </c>
      <c r="S53" s="98">
        <v>0</v>
      </c>
      <c r="T53" s="98">
        <v>0</v>
      </c>
      <c r="U53" s="98">
        <v>0</v>
      </c>
      <c r="V53" s="98">
        <v>0</v>
      </c>
      <c r="W53" s="98">
        <f t="shared" si="8"/>
        <v>0</v>
      </c>
      <c r="X53" s="98">
        <f t="shared" si="9"/>
        <v>0</v>
      </c>
      <c r="Y53" s="99">
        <v>0</v>
      </c>
      <c r="AA53" s="110"/>
      <c r="AB53" s="110"/>
    </row>
    <row r="54" spans="1:28">
      <c r="A54" s="57">
        <v>48</v>
      </c>
      <c r="B54" s="58" t="s">
        <v>227</v>
      </c>
      <c r="C54" s="98">
        <v>0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0</v>
      </c>
      <c r="K54" s="98">
        <v>0</v>
      </c>
      <c r="L54" s="98">
        <v>0</v>
      </c>
      <c r="M54" s="98">
        <v>0</v>
      </c>
      <c r="N54" s="98">
        <v>0</v>
      </c>
      <c r="O54" s="98"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8">
        <v>0</v>
      </c>
      <c r="W54" s="98">
        <f t="shared" si="8"/>
        <v>0</v>
      </c>
      <c r="X54" s="98">
        <f t="shared" si="9"/>
        <v>0</v>
      </c>
      <c r="Y54" s="99">
        <v>0</v>
      </c>
      <c r="AA54" s="110"/>
      <c r="AB54" s="110"/>
    </row>
    <row r="55" spans="1:28">
      <c r="A55" s="57">
        <v>49</v>
      </c>
      <c r="B55" s="58" t="s">
        <v>76</v>
      </c>
      <c r="C55" s="98">
        <v>107</v>
      </c>
      <c r="D55" s="98">
        <v>387</v>
      </c>
      <c r="E55" s="98">
        <v>0</v>
      </c>
      <c r="F55" s="98">
        <v>0</v>
      </c>
      <c r="G55" s="98">
        <v>0</v>
      </c>
      <c r="H55" s="98">
        <v>0</v>
      </c>
      <c r="I55" s="98">
        <v>0</v>
      </c>
      <c r="J55" s="98">
        <v>0</v>
      </c>
      <c r="K55" s="98">
        <v>0</v>
      </c>
      <c r="L55" s="98">
        <v>0</v>
      </c>
      <c r="M55" s="98">
        <v>0</v>
      </c>
      <c r="N55" s="98">
        <v>0</v>
      </c>
      <c r="O55" s="98">
        <v>0</v>
      </c>
      <c r="P55" s="98">
        <v>0</v>
      </c>
      <c r="Q55" s="98">
        <v>10</v>
      </c>
      <c r="R55" s="98">
        <v>242.77</v>
      </c>
      <c r="S55" s="98">
        <v>35</v>
      </c>
      <c r="T55" s="98">
        <v>89.36</v>
      </c>
      <c r="U55" s="98">
        <v>48</v>
      </c>
      <c r="V55" s="98">
        <v>3753</v>
      </c>
      <c r="W55" s="98">
        <f t="shared" si="8"/>
        <v>93</v>
      </c>
      <c r="X55" s="98">
        <f t="shared" si="9"/>
        <v>4085.13</v>
      </c>
      <c r="Y55" s="99">
        <f t="shared" ref="Y55:Y60" si="12">X55*100/D55</f>
        <v>1055.5891472868218</v>
      </c>
      <c r="AA55" s="110"/>
      <c r="AB55" s="110"/>
    </row>
    <row r="56" spans="1:28" s="107" customFormat="1">
      <c r="A56" s="317"/>
      <c r="B56" s="59" t="s">
        <v>287</v>
      </c>
      <c r="C56" s="105">
        <f>SUM(C34:C55)</f>
        <v>7022</v>
      </c>
      <c r="D56" s="105">
        <f t="shared" ref="D56:V56" si="13">SUM(D34:D55)</f>
        <v>78305</v>
      </c>
      <c r="E56" s="105">
        <f t="shared" si="13"/>
        <v>52</v>
      </c>
      <c r="F56" s="105">
        <f t="shared" si="13"/>
        <v>328.71</v>
      </c>
      <c r="G56" s="105">
        <f t="shared" si="13"/>
        <v>2390</v>
      </c>
      <c r="H56" s="105">
        <f t="shared" si="13"/>
        <v>6940.84</v>
      </c>
      <c r="I56" s="105">
        <f t="shared" si="13"/>
        <v>52</v>
      </c>
      <c r="J56" s="105">
        <f t="shared" si="13"/>
        <v>3717.17</v>
      </c>
      <c r="K56" s="105">
        <f t="shared" si="13"/>
        <v>107</v>
      </c>
      <c r="L56" s="105">
        <f t="shared" si="13"/>
        <v>13991.779999999999</v>
      </c>
      <c r="M56" s="105">
        <f t="shared" ref="M56" si="14">SUM(M34:M55)</f>
        <v>2549</v>
      </c>
      <c r="N56" s="105">
        <f t="shared" ref="N56" si="15">SUM(N34:N55)</f>
        <v>24649.79</v>
      </c>
      <c r="O56" s="105">
        <f t="shared" si="13"/>
        <v>55</v>
      </c>
      <c r="P56" s="105">
        <f t="shared" si="13"/>
        <v>107.28</v>
      </c>
      <c r="Q56" s="105">
        <f t="shared" si="13"/>
        <v>1629</v>
      </c>
      <c r="R56" s="105">
        <f t="shared" si="13"/>
        <v>51526.09</v>
      </c>
      <c r="S56" s="105">
        <f t="shared" si="13"/>
        <v>18241</v>
      </c>
      <c r="T56" s="105">
        <f t="shared" si="13"/>
        <v>67988.03</v>
      </c>
      <c r="U56" s="105">
        <f t="shared" si="13"/>
        <v>166372</v>
      </c>
      <c r="V56" s="105">
        <f t="shared" si="13"/>
        <v>982357.38600000006</v>
      </c>
      <c r="W56" s="105">
        <f t="shared" ref="W56" si="16">SUM(W34:W55)</f>
        <v>188898</v>
      </c>
      <c r="X56" s="105">
        <f t="shared" ref="X56" si="17">SUM(X34:X55)</f>
        <v>1126957.2859999998</v>
      </c>
      <c r="Y56" s="96">
        <f t="shared" si="12"/>
        <v>1439.1894336249279</v>
      </c>
      <c r="AA56" s="110"/>
      <c r="AB56" s="110"/>
    </row>
    <row r="57" spans="1:28">
      <c r="A57" s="57">
        <v>50</v>
      </c>
      <c r="B57" s="58" t="s">
        <v>46</v>
      </c>
      <c r="C57" s="98">
        <v>1666</v>
      </c>
      <c r="D57" s="98">
        <v>159</v>
      </c>
      <c r="E57" s="98">
        <v>0</v>
      </c>
      <c r="F57" s="98">
        <v>0</v>
      </c>
      <c r="G57" s="98">
        <v>0</v>
      </c>
      <c r="H57" s="98">
        <v>0</v>
      </c>
      <c r="I57" s="98">
        <v>0</v>
      </c>
      <c r="J57" s="98">
        <v>0</v>
      </c>
      <c r="K57" s="98">
        <v>0</v>
      </c>
      <c r="L57" s="98">
        <v>0</v>
      </c>
      <c r="M57" s="98">
        <v>0</v>
      </c>
      <c r="N57" s="98">
        <v>0</v>
      </c>
      <c r="O57" s="98">
        <v>0</v>
      </c>
      <c r="P57" s="98">
        <v>0</v>
      </c>
      <c r="Q57" s="98">
        <v>198</v>
      </c>
      <c r="R57" s="98">
        <v>1242.29</v>
      </c>
      <c r="S57" s="98">
        <v>1240</v>
      </c>
      <c r="T57" s="98">
        <v>2805.9</v>
      </c>
      <c r="U57" s="98">
        <v>6169</v>
      </c>
      <c r="V57" s="98">
        <v>11989.57</v>
      </c>
      <c r="W57" s="98">
        <f t="shared" ref="W57:X59" si="18">U57+S57+Q57+O57+M57+E57</f>
        <v>7607</v>
      </c>
      <c r="X57" s="98">
        <f t="shared" si="18"/>
        <v>16037.759999999998</v>
      </c>
      <c r="Y57" s="99">
        <f t="shared" si="12"/>
        <v>10086.641509433961</v>
      </c>
      <c r="AA57" s="110"/>
      <c r="AB57" s="110"/>
    </row>
    <row r="58" spans="1:28" s="107" customFormat="1">
      <c r="A58" s="57">
        <v>51</v>
      </c>
      <c r="B58" s="58" t="s">
        <v>228</v>
      </c>
      <c r="C58" s="98">
        <v>1814</v>
      </c>
      <c r="D58" s="98">
        <v>415</v>
      </c>
      <c r="E58" s="98">
        <v>0</v>
      </c>
      <c r="F58" s="98">
        <v>0</v>
      </c>
      <c r="G58" s="98">
        <v>0</v>
      </c>
      <c r="H58" s="98">
        <v>0</v>
      </c>
      <c r="I58" s="98">
        <v>0</v>
      </c>
      <c r="J58" s="98">
        <v>0</v>
      </c>
      <c r="K58" s="98">
        <v>0</v>
      </c>
      <c r="L58" s="98">
        <v>0</v>
      </c>
      <c r="M58" s="98">
        <v>0</v>
      </c>
      <c r="N58" s="98">
        <v>0</v>
      </c>
      <c r="O58" s="98">
        <v>0</v>
      </c>
      <c r="P58" s="98">
        <v>0</v>
      </c>
      <c r="Q58" s="98">
        <v>0</v>
      </c>
      <c r="R58" s="98">
        <v>0</v>
      </c>
      <c r="S58" s="98">
        <v>917</v>
      </c>
      <c r="T58" s="98">
        <v>1954</v>
      </c>
      <c r="U58" s="98">
        <v>45721</v>
      </c>
      <c r="V58" s="98">
        <v>26593</v>
      </c>
      <c r="W58" s="98">
        <f t="shared" si="18"/>
        <v>46638</v>
      </c>
      <c r="X58" s="98">
        <f t="shared" si="18"/>
        <v>28547</v>
      </c>
      <c r="Y58" s="99">
        <f t="shared" si="12"/>
        <v>6878.7951807228919</v>
      </c>
      <c r="AA58" s="110"/>
      <c r="AB58" s="110"/>
    </row>
    <row r="59" spans="1:28" s="107" customFormat="1">
      <c r="A59" s="57">
        <v>53</v>
      </c>
      <c r="B59" s="58" t="s">
        <v>52</v>
      </c>
      <c r="C59" s="98">
        <v>1105</v>
      </c>
      <c r="D59" s="98">
        <v>861</v>
      </c>
      <c r="E59" s="98">
        <v>0</v>
      </c>
      <c r="F59" s="98">
        <v>0</v>
      </c>
      <c r="G59" s="98">
        <v>0</v>
      </c>
      <c r="H59" s="98">
        <v>0</v>
      </c>
      <c r="I59" s="98">
        <v>0</v>
      </c>
      <c r="J59" s="98">
        <v>0</v>
      </c>
      <c r="K59" s="98">
        <v>0</v>
      </c>
      <c r="L59" s="98">
        <v>0</v>
      </c>
      <c r="M59" s="98">
        <v>0</v>
      </c>
      <c r="N59" s="98">
        <v>0</v>
      </c>
      <c r="O59" s="98">
        <v>0</v>
      </c>
      <c r="P59" s="98">
        <v>0</v>
      </c>
      <c r="Q59" s="98">
        <v>8</v>
      </c>
      <c r="R59" s="98">
        <v>20.12</v>
      </c>
      <c r="S59" s="98">
        <v>17</v>
      </c>
      <c r="T59" s="98">
        <v>36.14</v>
      </c>
      <c r="U59" s="98">
        <v>5656</v>
      </c>
      <c r="V59" s="98">
        <v>14496.26</v>
      </c>
      <c r="W59" s="98">
        <f t="shared" si="18"/>
        <v>5681</v>
      </c>
      <c r="X59" s="98">
        <f t="shared" si="18"/>
        <v>14552.52</v>
      </c>
      <c r="Y59" s="99">
        <f t="shared" si="12"/>
        <v>1690.1881533101046</v>
      </c>
      <c r="AA59" s="110"/>
      <c r="AB59" s="110"/>
    </row>
    <row r="60" spans="1:28" s="107" customFormat="1">
      <c r="A60" s="317"/>
      <c r="B60" s="59" t="s">
        <v>293</v>
      </c>
      <c r="C60" s="105">
        <f>SUM(C57:C59)</f>
        <v>4585</v>
      </c>
      <c r="D60" s="105">
        <f t="shared" ref="D60:V60" si="19">SUM(D57:D59)</f>
        <v>1435</v>
      </c>
      <c r="E60" s="105">
        <f t="shared" si="19"/>
        <v>0</v>
      </c>
      <c r="F60" s="105">
        <f t="shared" si="19"/>
        <v>0</v>
      </c>
      <c r="G60" s="105">
        <f t="shared" si="19"/>
        <v>0</v>
      </c>
      <c r="H60" s="105">
        <f t="shared" si="19"/>
        <v>0</v>
      </c>
      <c r="I60" s="105">
        <f t="shared" si="19"/>
        <v>0</v>
      </c>
      <c r="J60" s="105">
        <f t="shared" si="19"/>
        <v>0</v>
      </c>
      <c r="K60" s="105">
        <f t="shared" si="19"/>
        <v>0</v>
      </c>
      <c r="L60" s="105">
        <f t="shared" si="19"/>
        <v>0</v>
      </c>
      <c r="M60" s="105">
        <f t="shared" ref="M60" si="20">SUM(M57:M59)</f>
        <v>0</v>
      </c>
      <c r="N60" s="105">
        <f t="shared" ref="N60" si="21">SUM(N57:N59)</f>
        <v>0</v>
      </c>
      <c r="O60" s="105">
        <f t="shared" si="19"/>
        <v>0</v>
      </c>
      <c r="P60" s="105">
        <f t="shared" si="19"/>
        <v>0</v>
      </c>
      <c r="Q60" s="105">
        <f t="shared" si="19"/>
        <v>206</v>
      </c>
      <c r="R60" s="105">
        <f t="shared" si="19"/>
        <v>1262.4099999999999</v>
      </c>
      <c r="S60" s="105">
        <f t="shared" si="19"/>
        <v>2174</v>
      </c>
      <c r="T60" s="105">
        <f t="shared" si="19"/>
        <v>4796.04</v>
      </c>
      <c r="U60" s="105">
        <f t="shared" si="19"/>
        <v>57546</v>
      </c>
      <c r="V60" s="105">
        <f t="shared" si="19"/>
        <v>53078.83</v>
      </c>
      <c r="W60" s="105">
        <f t="shared" ref="W60" si="22">SUM(W57:W59)</f>
        <v>59926</v>
      </c>
      <c r="X60" s="105">
        <f t="shared" ref="X60" si="23">SUM(X57:X59)</f>
        <v>59137.279999999999</v>
      </c>
      <c r="Y60" s="96">
        <f t="shared" si="12"/>
        <v>4121.0648083623691</v>
      </c>
      <c r="AA60" s="110"/>
      <c r="AB60" s="110"/>
    </row>
    <row r="61" spans="1:28">
      <c r="A61" s="57">
        <v>53</v>
      </c>
      <c r="B61" s="58" t="s">
        <v>288</v>
      </c>
      <c r="C61" s="98">
        <v>0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0</v>
      </c>
      <c r="J61" s="98">
        <v>0</v>
      </c>
      <c r="K61" s="98">
        <v>0</v>
      </c>
      <c r="L61" s="98">
        <v>0</v>
      </c>
      <c r="M61" s="98">
        <v>0</v>
      </c>
      <c r="N61" s="98">
        <v>0</v>
      </c>
      <c r="O61" s="98">
        <v>0</v>
      </c>
      <c r="P61" s="98">
        <v>0</v>
      </c>
      <c r="Q61" s="98">
        <v>0</v>
      </c>
      <c r="R61" s="98">
        <v>0</v>
      </c>
      <c r="S61" s="98">
        <v>0</v>
      </c>
      <c r="T61" s="98">
        <v>0</v>
      </c>
      <c r="U61" s="98">
        <v>0</v>
      </c>
      <c r="V61" s="98">
        <v>0</v>
      </c>
      <c r="W61" s="98">
        <f>U61+S61+Q61+O61+M61+E61</f>
        <v>0</v>
      </c>
      <c r="X61" s="98">
        <f>V61+T61+R61+P61+N61+F61</f>
        <v>0</v>
      </c>
      <c r="Y61" s="99">
        <v>0</v>
      </c>
      <c r="AA61" s="110"/>
      <c r="AB61" s="110"/>
    </row>
    <row r="62" spans="1:28" s="107" customFormat="1">
      <c r="A62" s="317"/>
      <c r="B62" s="59" t="s">
        <v>289</v>
      </c>
      <c r="C62" s="105">
        <f>C61</f>
        <v>0</v>
      </c>
      <c r="D62" s="105">
        <f t="shared" ref="D62:V62" si="24">D61</f>
        <v>0</v>
      </c>
      <c r="E62" s="105">
        <f t="shared" si="24"/>
        <v>0</v>
      </c>
      <c r="F62" s="105">
        <f t="shared" si="24"/>
        <v>0</v>
      </c>
      <c r="G62" s="105">
        <f t="shared" si="24"/>
        <v>0</v>
      </c>
      <c r="H62" s="105">
        <f t="shared" si="24"/>
        <v>0</v>
      </c>
      <c r="I62" s="105">
        <f t="shared" si="24"/>
        <v>0</v>
      </c>
      <c r="J62" s="105">
        <f t="shared" si="24"/>
        <v>0</v>
      </c>
      <c r="K62" s="105">
        <f t="shared" si="24"/>
        <v>0</v>
      </c>
      <c r="L62" s="105">
        <f t="shared" si="24"/>
        <v>0</v>
      </c>
      <c r="M62" s="105">
        <f t="shared" ref="M62" si="25">M61</f>
        <v>0</v>
      </c>
      <c r="N62" s="105">
        <f t="shared" ref="N62" si="26">N61</f>
        <v>0</v>
      </c>
      <c r="O62" s="105">
        <f t="shared" si="24"/>
        <v>0</v>
      </c>
      <c r="P62" s="105">
        <f t="shared" si="24"/>
        <v>0</v>
      </c>
      <c r="Q62" s="105">
        <f t="shared" si="24"/>
        <v>0</v>
      </c>
      <c r="R62" s="105">
        <f t="shared" si="24"/>
        <v>0</v>
      </c>
      <c r="S62" s="105">
        <f t="shared" si="24"/>
        <v>0</v>
      </c>
      <c r="T62" s="105">
        <f t="shared" si="24"/>
        <v>0</v>
      </c>
      <c r="U62" s="105">
        <f t="shared" si="24"/>
        <v>0</v>
      </c>
      <c r="V62" s="105">
        <f t="shared" si="24"/>
        <v>0</v>
      </c>
      <c r="W62" s="105">
        <f t="shared" ref="W62" si="27">W61</f>
        <v>0</v>
      </c>
      <c r="X62" s="105">
        <f t="shared" ref="X62" si="28">X61</f>
        <v>0</v>
      </c>
      <c r="Y62" s="96">
        <v>0</v>
      </c>
      <c r="AA62" s="110"/>
      <c r="AB62" s="110"/>
    </row>
    <row r="63" spans="1:28" s="107" customFormat="1">
      <c r="A63" s="317"/>
      <c r="B63" s="59" t="s">
        <v>290</v>
      </c>
      <c r="C63" s="105">
        <f>C62+C60+C56+C33</f>
        <v>57369</v>
      </c>
      <c r="D63" s="105">
        <f t="shared" ref="D63:V63" si="29">D62+D60+D56+D33</f>
        <v>325152</v>
      </c>
      <c r="E63" s="105">
        <f t="shared" si="29"/>
        <v>5868</v>
      </c>
      <c r="F63" s="105">
        <f t="shared" si="29"/>
        <v>96773.010000000009</v>
      </c>
      <c r="G63" s="105">
        <f t="shared" si="29"/>
        <v>3027</v>
      </c>
      <c r="H63" s="105">
        <f t="shared" si="29"/>
        <v>40958.78</v>
      </c>
      <c r="I63" s="105">
        <f t="shared" si="29"/>
        <v>518</v>
      </c>
      <c r="J63" s="105">
        <f t="shared" si="29"/>
        <v>88072.180000000008</v>
      </c>
      <c r="K63" s="105">
        <f t="shared" si="29"/>
        <v>299</v>
      </c>
      <c r="L63" s="105">
        <f t="shared" si="29"/>
        <v>53945.679999999993</v>
      </c>
      <c r="M63" s="105">
        <f t="shared" ref="M63" si="30">M62+M60+M56+M33</f>
        <v>3844</v>
      </c>
      <c r="N63" s="105">
        <f t="shared" ref="N63" si="31">N62+N60+N56+N33</f>
        <v>182976.64000000001</v>
      </c>
      <c r="O63" s="105">
        <f t="shared" si="29"/>
        <v>1567</v>
      </c>
      <c r="P63" s="105">
        <f t="shared" si="29"/>
        <v>12708.19</v>
      </c>
      <c r="Q63" s="105">
        <f t="shared" si="29"/>
        <v>14858</v>
      </c>
      <c r="R63" s="105">
        <f t="shared" si="29"/>
        <v>214061.94</v>
      </c>
      <c r="S63" s="105">
        <f t="shared" si="29"/>
        <v>118243</v>
      </c>
      <c r="T63" s="105">
        <f t="shared" si="29"/>
        <v>602624.38</v>
      </c>
      <c r="U63" s="105">
        <f t="shared" si="29"/>
        <v>279261</v>
      </c>
      <c r="V63" s="105">
        <f t="shared" si="29"/>
        <v>1640619.456</v>
      </c>
      <c r="W63" s="105">
        <f t="shared" ref="W63" si="32">W62+W60+W56+W33</f>
        <v>423641</v>
      </c>
      <c r="X63" s="105">
        <f t="shared" ref="X63" si="33">X62+X60+X56+X33</f>
        <v>2749763.6159999999</v>
      </c>
      <c r="Y63" s="96">
        <f>X63*100/D63</f>
        <v>845.68559196929425</v>
      </c>
      <c r="AA63" s="110"/>
      <c r="AB63" s="110"/>
    </row>
    <row r="64" spans="1:28" s="107" customFormat="1">
      <c r="C64" s="111"/>
      <c r="D64" s="111"/>
      <c r="E64" s="111" t="s">
        <v>775</v>
      </c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378"/>
    </row>
    <row r="65" spans="3:25" hidden="1">
      <c r="C65" s="110">
        <f>'ACP_PS_11(ii)'!O63</f>
        <v>4985252.0428370796</v>
      </c>
      <c r="D65" s="110">
        <f>'ACP_PS_11(ii)'!P63</f>
        <v>10910445.26</v>
      </c>
      <c r="W65" s="111">
        <f>'ACP_PS_11(ii)'!Q63</f>
        <v>4884224</v>
      </c>
      <c r="Y65" s="377"/>
    </row>
    <row r="66" spans="3:25" hidden="1">
      <c r="C66" s="111">
        <f>C63+C65</f>
        <v>5042621.0428370796</v>
      </c>
      <c r="D66" s="111">
        <f>D63+D65</f>
        <v>11235597.26</v>
      </c>
      <c r="W66" s="111">
        <f>W63+W65</f>
        <v>5307865</v>
      </c>
      <c r="Y66" s="96">
        <f>X66*100/D66</f>
        <v>0</v>
      </c>
    </row>
    <row r="67" spans="3:25" hidden="1"/>
    <row r="69" spans="3:25">
      <c r="C69" s="110">
        <f>C63+'ACP_PS_11(ii)'!Q63</f>
        <v>4941593</v>
      </c>
      <c r="D69" s="111">
        <f>D63+'ACP_PS_11(ii)'!P63</f>
        <v>11235597.26</v>
      </c>
      <c r="X69" s="289"/>
    </row>
    <row r="71" spans="3:25">
      <c r="C71" s="110">
        <f>W63+'ACP_PS_11(ii)'!Q63</f>
        <v>5307865</v>
      </c>
      <c r="D71" s="110">
        <f>X63+'ACP_PS_11(ii)'!R63</f>
        <v>11517553.509</v>
      </c>
    </row>
    <row r="74" spans="3:25" s="107" customFormat="1">
      <c r="C74" s="111"/>
      <c r="D74" s="289">
        <f>D71*100/D69</f>
        <v>102.50949052796503</v>
      </c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</row>
  </sheetData>
  <mergeCells count="18">
    <mergeCell ref="A1:X1"/>
    <mergeCell ref="A3:A5"/>
    <mergeCell ref="B3:B5"/>
    <mergeCell ref="C3:D3"/>
    <mergeCell ref="E3:F4"/>
    <mergeCell ref="G3:N3"/>
    <mergeCell ref="O3:P4"/>
    <mergeCell ref="Q3:R4"/>
    <mergeCell ref="S3:T4"/>
    <mergeCell ref="U3:V4"/>
    <mergeCell ref="Y3:Y5"/>
    <mergeCell ref="C4:C5"/>
    <mergeCell ref="D4:D5"/>
    <mergeCell ref="G4:H4"/>
    <mergeCell ref="I4:J4"/>
    <mergeCell ref="K4:L4"/>
    <mergeCell ref="M4:N4"/>
    <mergeCell ref="W3:X4"/>
  </mergeCells>
  <conditionalFormatting sqref="B6">
    <cfRule type="duplicateValues" dxfId="107" priority="3"/>
  </conditionalFormatting>
  <conditionalFormatting sqref="B22">
    <cfRule type="duplicateValues" dxfId="106" priority="4"/>
  </conditionalFormatting>
  <conditionalFormatting sqref="B33:B34 B26:B30">
    <cfRule type="duplicateValues" dxfId="105" priority="5"/>
  </conditionalFormatting>
  <conditionalFormatting sqref="B52">
    <cfRule type="duplicateValues" dxfId="104" priority="6"/>
  </conditionalFormatting>
  <conditionalFormatting sqref="B56">
    <cfRule type="duplicateValues" dxfId="103" priority="7"/>
  </conditionalFormatting>
  <conditionalFormatting sqref="B58">
    <cfRule type="duplicateValues" dxfId="102" priority="8"/>
  </conditionalFormatting>
  <conditionalFormatting sqref="Y1:Y1048576">
    <cfRule type="cellIs" dxfId="101" priority="2" stopIfTrue="1" operator="greaterThan">
      <formula>100</formula>
    </cfRule>
  </conditionalFormatting>
  <conditionalFormatting sqref="AB1:AB1048576">
    <cfRule type="cellIs" dxfId="100" priority="1" operator="lessThan">
      <formula>0</formula>
    </cfRule>
  </conditionalFormatting>
  <pageMargins left="1.45" right="0.7" top="0.25" bottom="0.25" header="0.3" footer="0.3"/>
  <pageSetup paperSize="9" scale="5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7" tint="0.59999389629810485"/>
  </sheetPr>
  <dimension ref="A1:N65"/>
  <sheetViews>
    <sheetView zoomScaleNormal="100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Q8" sqref="Q8"/>
    </sheetView>
  </sheetViews>
  <sheetFormatPr defaultRowHeight="15"/>
  <cols>
    <col min="1" max="1" width="6" style="155" customWidth="1"/>
    <col min="2" max="2" width="29.28515625" style="36" customWidth="1"/>
    <col min="3" max="3" width="10.28515625" style="36" customWidth="1"/>
    <col min="4" max="4" width="11.5703125" style="36" bestFit="1" customWidth="1"/>
    <col min="5" max="5" width="11.5703125" style="36" customWidth="1"/>
    <col min="6" max="6" width="13.42578125" style="36" bestFit="1" customWidth="1"/>
    <col min="7" max="7" width="9.5703125" style="37" bestFit="1" customWidth="1"/>
    <col min="8" max="8" width="9.140625" style="36" hidden="1" customWidth="1"/>
    <col min="9" max="10" width="9.140625" style="154" hidden="1" customWidth="1"/>
    <col min="11" max="11" width="9.140625" style="154" customWidth="1"/>
    <col min="12" max="12" width="9.140625" style="154" hidden="1" customWidth="1"/>
    <col min="13" max="13" width="0" style="154" hidden="1" customWidth="1"/>
    <col min="14" max="14" width="10.7109375" style="154" hidden="1" customWidth="1"/>
    <col min="15" max="15" width="0" style="36" hidden="1" customWidth="1"/>
    <col min="16" max="16384" width="9.140625" style="36"/>
  </cols>
  <sheetData>
    <row r="1" spans="1:14" ht="18.75" customHeight="1">
      <c r="A1" s="630" t="s">
        <v>762</v>
      </c>
      <c r="B1" s="630"/>
      <c r="C1" s="630"/>
      <c r="D1" s="630"/>
      <c r="E1" s="630"/>
      <c r="F1" s="630"/>
      <c r="G1" s="630"/>
      <c r="J1" s="36"/>
      <c r="K1" s="36"/>
      <c r="L1" s="36"/>
      <c r="M1" s="36"/>
      <c r="N1" s="36"/>
    </row>
    <row r="2" spans="1:14">
      <c r="A2" s="635" t="s">
        <v>117</v>
      </c>
      <c r="B2" s="635"/>
      <c r="C2" s="635"/>
      <c r="D2" s="635"/>
      <c r="E2" s="635"/>
      <c r="F2" s="635"/>
      <c r="J2" s="36"/>
      <c r="K2" s="36"/>
      <c r="L2" s="36"/>
      <c r="M2" s="36"/>
      <c r="N2" s="36"/>
    </row>
    <row r="3" spans="1:14" ht="25.5" customHeight="1">
      <c r="B3" s="42" t="s">
        <v>12</v>
      </c>
      <c r="C3" s="636"/>
      <c r="D3" s="636"/>
      <c r="E3" s="640" t="s">
        <v>44</v>
      </c>
      <c r="F3" s="640"/>
      <c r="J3" s="36"/>
      <c r="K3" s="36"/>
      <c r="L3" s="322">
        <v>42614</v>
      </c>
      <c r="M3" s="322"/>
      <c r="N3" s="36"/>
    </row>
    <row r="4" spans="1:14" ht="15" customHeight="1">
      <c r="A4" s="637" t="s">
        <v>168</v>
      </c>
      <c r="B4" s="637" t="s">
        <v>3</v>
      </c>
      <c r="C4" s="631" t="s">
        <v>39</v>
      </c>
      <c r="D4" s="632"/>
      <c r="E4" s="631" t="s">
        <v>13</v>
      </c>
      <c r="F4" s="632"/>
      <c r="G4" s="633" t="s">
        <v>118</v>
      </c>
      <c r="J4" s="36"/>
      <c r="K4" s="36"/>
      <c r="L4" s="629" t="s">
        <v>39</v>
      </c>
      <c r="M4" s="629"/>
      <c r="N4" s="629" t="s">
        <v>346</v>
      </c>
    </row>
    <row r="5" spans="1:14">
      <c r="A5" s="638"/>
      <c r="B5" s="639"/>
      <c r="C5" s="173" t="s">
        <v>30</v>
      </c>
      <c r="D5" s="173" t="s">
        <v>17</v>
      </c>
      <c r="E5" s="173" t="s">
        <v>30</v>
      </c>
      <c r="F5" s="156" t="s">
        <v>17</v>
      </c>
      <c r="G5" s="634"/>
      <c r="J5" s="36"/>
      <c r="K5" s="36"/>
      <c r="L5" s="173" t="s">
        <v>30</v>
      </c>
      <c r="M5" s="173" t="s">
        <v>17</v>
      </c>
      <c r="N5" s="629"/>
    </row>
    <row r="6" spans="1:14" ht="15" customHeight="1">
      <c r="A6" s="172">
        <v>1</v>
      </c>
      <c r="B6" s="148" t="s">
        <v>55</v>
      </c>
      <c r="C6" s="238">
        <v>16502</v>
      </c>
      <c r="D6" s="65">
        <v>108847</v>
      </c>
      <c r="E6" s="238">
        <f>'Pri Sec_outstanding_6'!O6+NPS_OS_8!U6</f>
        <v>164530</v>
      </c>
      <c r="F6" s="238">
        <f>'CD Ratio_3(i)'!F6</f>
        <v>706547</v>
      </c>
      <c r="G6" s="254">
        <f>D6*100/F6</f>
        <v>15.405486117696345</v>
      </c>
      <c r="H6" s="36" t="e">
        <f>NPA_PS_14!N6+NPA_NPS_15!#REF!</f>
        <v>#REF!</v>
      </c>
      <c r="I6" s="154" t="e">
        <f>H6-D6</f>
        <v>#REF!</v>
      </c>
      <c r="J6" s="36"/>
      <c r="K6" s="36"/>
      <c r="L6" s="238">
        <v>17736</v>
      </c>
      <c r="M6" s="65">
        <v>53266.559999999998</v>
      </c>
      <c r="N6" s="323">
        <f t="shared" ref="N6:N37" si="0">D6-M6</f>
        <v>55580.44</v>
      </c>
    </row>
    <row r="7" spans="1:14" ht="15" customHeight="1">
      <c r="A7" s="172">
        <v>2</v>
      </c>
      <c r="B7" s="148" t="s">
        <v>56</v>
      </c>
      <c r="C7" s="238">
        <v>320</v>
      </c>
      <c r="D7" s="65">
        <v>4848</v>
      </c>
      <c r="E7" s="238">
        <f>'Pri Sec_outstanding_6'!O7+NPS_OS_8!U7</f>
        <v>8109</v>
      </c>
      <c r="F7" s="238">
        <f>'CD Ratio_3(i)'!F7</f>
        <v>76442.070000000007</v>
      </c>
      <c r="G7" s="254">
        <f t="shared" ref="G7:G63" si="1">D7*100/F7</f>
        <v>6.3420574560579004</v>
      </c>
      <c r="H7" s="36">
        <f>NPA_PS_14!N7+NPA_NPS_15!L6</f>
        <v>58896</v>
      </c>
      <c r="I7" s="154">
        <f t="shared" ref="I7:I59" si="2">H7-D7</f>
        <v>54048</v>
      </c>
      <c r="J7" s="36"/>
      <c r="K7" s="36"/>
      <c r="L7" s="238">
        <v>283</v>
      </c>
      <c r="M7" s="65">
        <v>2134.4</v>
      </c>
      <c r="N7" s="323">
        <f t="shared" si="0"/>
        <v>2713.6</v>
      </c>
    </row>
    <row r="8" spans="1:14" ht="15" customHeight="1">
      <c r="A8" s="172">
        <v>3</v>
      </c>
      <c r="B8" s="148" t="s">
        <v>57</v>
      </c>
      <c r="C8" s="238">
        <v>15069</v>
      </c>
      <c r="D8" s="65">
        <v>118030</v>
      </c>
      <c r="E8" s="238">
        <f>'Pri Sec_outstanding_6'!O8+NPS_OS_8!U8</f>
        <v>105688</v>
      </c>
      <c r="F8" s="238">
        <f>'CD Ratio_3(i)'!F8</f>
        <v>813103</v>
      </c>
      <c r="G8" s="254">
        <f t="shared" si="1"/>
        <v>14.515996128411775</v>
      </c>
      <c r="H8" s="36">
        <f>NPA_PS_14!N8+NPA_NPS_15!L7</f>
        <v>57470</v>
      </c>
      <c r="I8" s="154">
        <f t="shared" si="2"/>
        <v>-60560</v>
      </c>
      <c r="J8" s="36"/>
      <c r="K8" s="36"/>
      <c r="L8" s="238">
        <v>13226</v>
      </c>
      <c r="M8" s="65">
        <v>87373</v>
      </c>
      <c r="N8" s="323">
        <f t="shared" si="0"/>
        <v>30657</v>
      </c>
    </row>
    <row r="9" spans="1:14" ht="15" customHeight="1">
      <c r="A9" s="172">
        <v>4</v>
      </c>
      <c r="B9" s="148" t="s">
        <v>58</v>
      </c>
      <c r="C9" s="238">
        <v>50461</v>
      </c>
      <c r="D9" s="65">
        <v>85471</v>
      </c>
      <c r="E9" s="238">
        <f>'Pri Sec_outstanding_6'!O9+NPS_OS_8!U9</f>
        <v>672055</v>
      </c>
      <c r="F9" s="238">
        <f>'CD Ratio_3(i)'!F9</f>
        <v>1800789</v>
      </c>
      <c r="G9" s="254">
        <f t="shared" si="1"/>
        <v>4.7463084236965019</v>
      </c>
      <c r="H9" s="36">
        <f>NPA_PS_14!N9+NPA_NPS_15!L8</f>
        <v>122795</v>
      </c>
      <c r="I9" s="154">
        <f t="shared" si="2"/>
        <v>37324</v>
      </c>
      <c r="J9" s="36"/>
      <c r="K9" s="36"/>
      <c r="L9" s="238">
        <v>46773</v>
      </c>
      <c r="M9" s="65">
        <v>77106</v>
      </c>
      <c r="N9" s="323">
        <f t="shared" si="0"/>
        <v>8365</v>
      </c>
    </row>
    <row r="10" spans="1:14" ht="15" customHeight="1">
      <c r="A10" s="172">
        <v>5</v>
      </c>
      <c r="B10" s="148" t="s">
        <v>59</v>
      </c>
      <c r="C10" s="238">
        <v>18878</v>
      </c>
      <c r="D10" s="65">
        <v>59166.68</v>
      </c>
      <c r="E10" s="238">
        <f>'Pri Sec_outstanding_6'!O10+NPS_OS_8!U10</f>
        <v>103315</v>
      </c>
      <c r="F10" s="238">
        <f>'CD Ratio_3(i)'!F10</f>
        <v>316149</v>
      </c>
      <c r="G10" s="254">
        <f t="shared" si="1"/>
        <v>18.714808523828953</v>
      </c>
      <c r="H10" s="36">
        <f>NPA_PS_14!N10+NPA_NPS_15!L9</f>
        <v>63948.68</v>
      </c>
      <c r="I10" s="154">
        <f t="shared" si="2"/>
        <v>4782</v>
      </c>
      <c r="J10" s="36"/>
      <c r="K10" s="36"/>
      <c r="L10" s="238">
        <v>17407</v>
      </c>
      <c r="M10" s="65">
        <v>30705</v>
      </c>
      <c r="N10" s="323">
        <f t="shared" si="0"/>
        <v>28461.68</v>
      </c>
    </row>
    <row r="11" spans="1:14" ht="15" customHeight="1">
      <c r="A11" s="172">
        <v>6</v>
      </c>
      <c r="B11" s="251" t="s">
        <v>241</v>
      </c>
      <c r="C11" s="238">
        <v>4</v>
      </c>
      <c r="D11" s="65">
        <v>7</v>
      </c>
      <c r="E11" s="238">
        <f>'Pri Sec_outstanding_6'!O11+NPS_OS_8!U11</f>
        <v>276</v>
      </c>
      <c r="F11" s="238">
        <f>'CD Ratio_3(i)'!F11</f>
        <v>687</v>
      </c>
      <c r="G11" s="254">
        <f t="shared" si="1"/>
        <v>1.0189228529839884</v>
      </c>
      <c r="H11" s="36">
        <f>NPA_PS_14!N11+NPA_NPS_15!L10</f>
        <v>18461</v>
      </c>
      <c r="I11" s="154">
        <f t="shared" si="2"/>
        <v>18454</v>
      </c>
      <c r="J11" s="36"/>
      <c r="K11" s="36"/>
      <c r="L11" s="238">
        <v>0</v>
      </c>
      <c r="M11" s="65">
        <v>0</v>
      </c>
      <c r="N11" s="323">
        <f t="shared" si="0"/>
        <v>7</v>
      </c>
    </row>
    <row r="12" spans="1:14" ht="15" customHeight="1">
      <c r="A12" s="172">
        <v>7</v>
      </c>
      <c r="B12" s="148" t="s">
        <v>60</v>
      </c>
      <c r="C12" s="238">
        <v>6940</v>
      </c>
      <c r="D12" s="65">
        <v>39403</v>
      </c>
      <c r="E12" s="238">
        <f>'Pri Sec_outstanding_6'!O12+NPS_OS_8!U12</f>
        <v>94858</v>
      </c>
      <c r="F12" s="238">
        <f>'CD Ratio_3(i)'!F12</f>
        <v>436815.9</v>
      </c>
      <c r="G12" s="254">
        <f t="shared" si="1"/>
        <v>9.0205049770395256</v>
      </c>
      <c r="H12" s="36">
        <f>NPA_PS_14!N12+NPA_NPS_15!L11</f>
        <v>29934</v>
      </c>
      <c r="I12" s="154">
        <f t="shared" si="2"/>
        <v>-9469</v>
      </c>
      <c r="J12" s="36"/>
      <c r="K12" s="36"/>
      <c r="L12" s="238">
        <v>7284</v>
      </c>
      <c r="M12" s="65">
        <v>25051</v>
      </c>
      <c r="N12" s="323">
        <f t="shared" si="0"/>
        <v>14352</v>
      </c>
    </row>
    <row r="13" spans="1:14" ht="15" customHeight="1">
      <c r="A13" s="172">
        <v>8</v>
      </c>
      <c r="B13" s="148" t="s">
        <v>61</v>
      </c>
      <c r="C13" s="238">
        <v>67676</v>
      </c>
      <c r="D13" s="65">
        <v>117512</v>
      </c>
      <c r="E13" s="238">
        <f>'Pri Sec_outstanding_6'!O13+NPS_OS_8!U13</f>
        <v>515356</v>
      </c>
      <c r="F13" s="238">
        <f>'CD Ratio_3(i)'!F13</f>
        <v>1210009</v>
      </c>
      <c r="G13" s="254">
        <f t="shared" si="1"/>
        <v>9.7116633016779215</v>
      </c>
      <c r="H13" s="36">
        <f>NPA_PS_14!N13+NPA_NPS_15!L12</f>
        <v>79525</v>
      </c>
      <c r="I13" s="154">
        <f t="shared" si="2"/>
        <v>-37987</v>
      </c>
      <c r="J13" s="36"/>
      <c r="K13" s="36"/>
      <c r="L13" s="238">
        <v>69102</v>
      </c>
      <c r="M13" s="65">
        <v>109757</v>
      </c>
      <c r="N13" s="323">
        <f t="shared" si="0"/>
        <v>7755</v>
      </c>
    </row>
    <row r="14" spans="1:14" ht="15" customHeight="1">
      <c r="A14" s="172">
        <v>9</v>
      </c>
      <c r="B14" s="148" t="s">
        <v>48</v>
      </c>
      <c r="C14" s="238">
        <v>1139</v>
      </c>
      <c r="D14" s="65">
        <v>6222</v>
      </c>
      <c r="E14" s="238">
        <f>'Pri Sec_outstanding_6'!O14+NPS_OS_8!U14</f>
        <v>43279</v>
      </c>
      <c r="F14" s="238">
        <f>'CD Ratio_3(i)'!F14</f>
        <v>326576</v>
      </c>
      <c r="G14" s="254">
        <f t="shared" si="1"/>
        <v>1.9052226740483074</v>
      </c>
      <c r="H14" s="36">
        <f>NPA_PS_14!N14+NPA_NPS_15!L13</f>
        <v>53678</v>
      </c>
      <c r="I14" s="154">
        <f t="shared" si="2"/>
        <v>47456</v>
      </c>
      <c r="J14" s="36"/>
      <c r="K14" s="36"/>
      <c r="L14" s="238">
        <v>1169</v>
      </c>
      <c r="M14" s="65">
        <v>9763</v>
      </c>
      <c r="N14" s="323">
        <f t="shared" si="0"/>
        <v>-3541</v>
      </c>
    </row>
    <row r="15" spans="1:14" ht="15" customHeight="1">
      <c r="A15" s="172">
        <v>10</v>
      </c>
      <c r="B15" s="148" t="s">
        <v>49</v>
      </c>
      <c r="C15" s="238">
        <v>8535</v>
      </c>
      <c r="D15" s="65">
        <v>23105</v>
      </c>
      <c r="E15" s="238">
        <f>'Pri Sec_outstanding_6'!O15+NPS_OS_8!U15</f>
        <v>32915</v>
      </c>
      <c r="F15" s="238">
        <f>'CD Ratio_3(i)'!F15</f>
        <v>156634</v>
      </c>
      <c r="G15" s="254">
        <f t="shared" si="1"/>
        <v>14.750948070023112</v>
      </c>
      <c r="H15" s="36">
        <f>NPA_PS_14!N15+NPA_NPS_15!L14</f>
        <v>9998</v>
      </c>
      <c r="I15" s="154">
        <f t="shared" si="2"/>
        <v>-13107</v>
      </c>
      <c r="J15" s="36"/>
      <c r="K15" s="36"/>
      <c r="L15" s="238">
        <v>8946</v>
      </c>
      <c r="M15" s="65">
        <v>12530</v>
      </c>
      <c r="N15" s="323">
        <f t="shared" si="0"/>
        <v>10575</v>
      </c>
    </row>
    <row r="16" spans="1:14" ht="15" customHeight="1">
      <c r="A16" s="172">
        <v>11</v>
      </c>
      <c r="B16" s="148" t="s">
        <v>81</v>
      </c>
      <c r="C16" s="238">
        <v>7824</v>
      </c>
      <c r="D16" s="65">
        <v>55382</v>
      </c>
      <c r="E16" s="238">
        <f>'Pri Sec_outstanding_6'!O16+NPS_OS_8!U16</f>
        <v>60639</v>
      </c>
      <c r="F16" s="238">
        <f>'CD Ratio_3(i)'!F16</f>
        <v>381186</v>
      </c>
      <c r="G16" s="254">
        <f t="shared" si="1"/>
        <v>14.528865173432392</v>
      </c>
      <c r="H16" s="36">
        <f>NPA_PS_14!N16+NPA_NPS_15!L15</f>
        <v>21315</v>
      </c>
      <c r="I16" s="154">
        <f t="shared" si="2"/>
        <v>-34067</v>
      </c>
      <c r="J16" s="36"/>
      <c r="K16" s="36"/>
      <c r="L16" s="238">
        <v>976</v>
      </c>
      <c r="M16" s="65">
        <v>57560</v>
      </c>
      <c r="N16" s="323">
        <f t="shared" si="0"/>
        <v>-2178</v>
      </c>
    </row>
    <row r="17" spans="1:14" ht="15" customHeight="1">
      <c r="A17" s="172">
        <v>12</v>
      </c>
      <c r="B17" s="148" t="s">
        <v>62</v>
      </c>
      <c r="C17" s="238">
        <v>518</v>
      </c>
      <c r="D17" s="65">
        <v>9517</v>
      </c>
      <c r="E17" s="238">
        <f>'Pri Sec_outstanding_6'!O17+NPS_OS_8!U17</f>
        <v>8888</v>
      </c>
      <c r="F17" s="238">
        <f>'CD Ratio_3(i)'!F17</f>
        <v>38518.67</v>
      </c>
      <c r="G17" s="254">
        <f t="shared" si="1"/>
        <v>24.707498986854947</v>
      </c>
      <c r="H17" s="36">
        <f>NPA_PS_14!N17+NPA_NPS_15!L16</f>
        <v>56690.770000000004</v>
      </c>
      <c r="I17" s="154">
        <f t="shared" si="2"/>
        <v>47173.770000000004</v>
      </c>
      <c r="J17" s="36"/>
      <c r="K17" s="36"/>
      <c r="L17" s="238">
        <v>491</v>
      </c>
      <c r="M17" s="65">
        <v>4132.79</v>
      </c>
      <c r="N17" s="323">
        <f t="shared" si="0"/>
        <v>5384.21</v>
      </c>
    </row>
    <row r="18" spans="1:14" ht="15" customHeight="1">
      <c r="A18" s="172">
        <v>13</v>
      </c>
      <c r="B18" s="148" t="s">
        <v>63</v>
      </c>
      <c r="C18" s="238">
        <v>731</v>
      </c>
      <c r="D18" s="65">
        <v>15290.27</v>
      </c>
      <c r="E18" s="238">
        <f>'Pri Sec_outstanding_6'!O18+NPS_OS_8!U18</f>
        <v>15938</v>
      </c>
      <c r="F18" s="238">
        <f>'CD Ratio_3(i)'!F18</f>
        <v>103066</v>
      </c>
      <c r="G18" s="254">
        <f t="shared" si="1"/>
        <v>14.835416141113461</v>
      </c>
      <c r="H18" s="36">
        <f>NPA_PS_14!N18+NPA_NPS_15!L17</f>
        <v>1296.1799999999998</v>
      </c>
      <c r="I18" s="154">
        <f t="shared" si="2"/>
        <v>-13994.09</v>
      </c>
      <c r="J18" s="36"/>
      <c r="K18" s="36"/>
      <c r="L18" s="238">
        <v>854</v>
      </c>
      <c r="M18" s="65">
        <v>17755.2</v>
      </c>
      <c r="N18" s="323">
        <f t="shared" si="0"/>
        <v>-2464.9300000000003</v>
      </c>
    </row>
    <row r="19" spans="1:14" ht="15" customHeight="1">
      <c r="A19" s="172">
        <v>14</v>
      </c>
      <c r="B19" s="252" t="s">
        <v>206</v>
      </c>
      <c r="C19" s="238">
        <v>6940</v>
      </c>
      <c r="D19" s="65">
        <v>36666.78</v>
      </c>
      <c r="E19" s="238">
        <f>'Pri Sec_outstanding_6'!O19+NPS_OS_8!U19</f>
        <v>35971</v>
      </c>
      <c r="F19" s="238">
        <f>'CD Ratio_3(i)'!F19</f>
        <v>240785.74</v>
      </c>
      <c r="G19" s="254">
        <f t="shared" si="1"/>
        <v>15.227969895559431</v>
      </c>
      <c r="H19" s="36">
        <f>NPA_PS_14!N19+NPA_NPS_15!L18</f>
        <v>25701.809999999998</v>
      </c>
      <c r="I19" s="154">
        <f t="shared" si="2"/>
        <v>-10964.970000000001</v>
      </c>
      <c r="J19" s="36"/>
      <c r="K19" s="36"/>
      <c r="L19" s="238">
        <v>6253</v>
      </c>
      <c r="M19" s="65">
        <v>35717.19</v>
      </c>
      <c r="N19" s="323">
        <f t="shared" si="0"/>
        <v>949.58999999999651</v>
      </c>
    </row>
    <row r="20" spans="1:14" ht="15" customHeight="1">
      <c r="A20" s="172">
        <v>15</v>
      </c>
      <c r="B20" s="148" t="s">
        <v>207</v>
      </c>
      <c r="C20" s="238">
        <v>5146</v>
      </c>
      <c r="D20" s="65">
        <v>4027.55</v>
      </c>
      <c r="E20" s="238">
        <f>'Pri Sec_outstanding_6'!O20+NPS_OS_8!U20</f>
        <v>16271</v>
      </c>
      <c r="F20" s="238">
        <f>'CD Ratio_3(i)'!F20</f>
        <v>67492</v>
      </c>
      <c r="G20" s="254">
        <f t="shared" si="1"/>
        <v>5.9674479938363065</v>
      </c>
      <c r="H20" s="36">
        <f>NPA_PS_14!N20+NPA_NPS_15!L19</f>
        <v>28854.789999999997</v>
      </c>
      <c r="I20" s="154">
        <f t="shared" si="2"/>
        <v>24827.239999999998</v>
      </c>
      <c r="J20" s="36"/>
      <c r="K20" s="36"/>
      <c r="L20" s="238">
        <v>5175</v>
      </c>
      <c r="M20" s="65">
        <v>3673.21</v>
      </c>
      <c r="N20" s="323">
        <f t="shared" si="0"/>
        <v>354.34000000000015</v>
      </c>
    </row>
    <row r="21" spans="1:14" ht="15" customHeight="1">
      <c r="A21" s="172">
        <v>16</v>
      </c>
      <c r="B21" s="148" t="s">
        <v>64</v>
      </c>
      <c r="C21" s="238">
        <v>11202</v>
      </c>
      <c r="D21" s="65">
        <v>112586</v>
      </c>
      <c r="E21" s="238">
        <f>'Pri Sec_outstanding_6'!O21+NPS_OS_8!U21</f>
        <v>337638</v>
      </c>
      <c r="F21" s="238">
        <f>'CD Ratio_3(i)'!F21</f>
        <v>1443565</v>
      </c>
      <c r="G21" s="254">
        <f t="shared" si="1"/>
        <v>7.7991638755442256</v>
      </c>
      <c r="H21" s="36">
        <f>NPA_PS_14!N21+NPA_NPS_15!L20</f>
        <v>70438.820000000007</v>
      </c>
      <c r="I21" s="154">
        <f t="shared" si="2"/>
        <v>-42147.179999999993</v>
      </c>
      <c r="J21" s="36"/>
      <c r="K21" s="36"/>
      <c r="L21" s="238">
        <v>11401</v>
      </c>
      <c r="M21" s="65">
        <v>104563</v>
      </c>
      <c r="N21" s="323">
        <f t="shared" si="0"/>
        <v>8023</v>
      </c>
    </row>
    <row r="22" spans="1:14" ht="15" customHeight="1">
      <c r="A22" s="172">
        <v>17</v>
      </c>
      <c r="B22" s="252" t="s">
        <v>69</v>
      </c>
      <c r="C22" s="238">
        <v>0</v>
      </c>
      <c r="D22" s="65">
        <v>0</v>
      </c>
      <c r="E22" s="238">
        <f>'Pri Sec_outstanding_6'!O22+NPS_OS_8!U22</f>
        <v>1784</v>
      </c>
      <c r="F22" s="238">
        <f>'CD Ratio_3(i)'!F22</f>
        <v>25188</v>
      </c>
      <c r="G22" s="254">
        <f t="shared" si="1"/>
        <v>0</v>
      </c>
      <c r="H22" s="36">
        <f>NPA_PS_14!N22+NPA_NPS_15!L21</f>
        <v>42279</v>
      </c>
      <c r="I22" s="154">
        <f t="shared" si="2"/>
        <v>42279</v>
      </c>
      <c r="J22" s="36"/>
      <c r="K22" s="36"/>
      <c r="L22" s="238">
        <v>71</v>
      </c>
      <c r="M22" s="65">
        <v>924.49</v>
      </c>
      <c r="N22" s="323">
        <f t="shared" si="0"/>
        <v>-924.49</v>
      </c>
    </row>
    <row r="23" spans="1:14" ht="15" customHeight="1">
      <c r="A23" s="172">
        <v>18</v>
      </c>
      <c r="B23" s="98" t="s">
        <v>208</v>
      </c>
      <c r="C23" s="238">
        <v>61</v>
      </c>
      <c r="D23" s="65">
        <v>3856</v>
      </c>
      <c r="E23" s="238">
        <f>'Pri Sec_outstanding_6'!O23+NPS_OS_8!U23</f>
        <v>667</v>
      </c>
      <c r="F23" s="238">
        <f>'CD Ratio_3(i)'!F23</f>
        <v>27915</v>
      </c>
      <c r="G23" s="254">
        <f t="shared" si="1"/>
        <v>13.813361991760702</v>
      </c>
      <c r="H23" s="36">
        <f>NPA_PS_14!N23+NPA_NPS_15!L22</f>
        <v>342.3</v>
      </c>
      <c r="I23" s="154">
        <f t="shared" si="2"/>
        <v>-3513.7</v>
      </c>
      <c r="J23" s="36"/>
      <c r="K23" s="36"/>
      <c r="L23" s="238">
        <v>0</v>
      </c>
      <c r="M23" s="65">
        <v>0</v>
      </c>
      <c r="N23" s="323">
        <f t="shared" si="0"/>
        <v>3856</v>
      </c>
    </row>
    <row r="24" spans="1:14" ht="15" customHeight="1">
      <c r="A24" s="172">
        <v>19</v>
      </c>
      <c r="B24" s="253" t="s">
        <v>209</v>
      </c>
      <c r="C24" s="238">
        <v>189</v>
      </c>
      <c r="D24" s="65">
        <v>791</v>
      </c>
      <c r="E24" s="238">
        <f>'Pri Sec_outstanding_6'!O24+NPS_OS_8!U24</f>
        <v>3006</v>
      </c>
      <c r="F24" s="238">
        <f>'CD Ratio_3(i)'!F24</f>
        <v>69429</v>
      </c>
      <c r="G24" s="254">
        <f t="shared" si="1"/>
        <v>1.1392933788474557</v>
      </c>
      <c r="H24" s="36">
        <f>NPA_PS_14!N24+NPA_NPS_15!L23</f>
        <v>4214</v>
      </c>
      <c r="I24" s="154">
        <f t="shared" si="2"/>
        <v>3423</v>
      </c>
      <c r="J24" s="36"/>
      <c r="K24" s="36"/>
      <c r="L24" s="238">
        <v>159</v>
      </c>
      <c r="M24" s="65">
        <v>395.15000000000003</v>
      </c>
      <c r="N24" s="323">
        <f t="shared" si="0"/>
        <v>395.84999999999997</v>
      </c>
    </row>
    <row r="25" spans="1:14" ht="15" customHeight="1">
      <c r="A25" s="172">
        <v>20</v>
      </c>
      <c r="B25" s="148" t="s">
        <v>210</v>
      </c>
      <c r="C25" s="238">
        <v>22</v>
      </c>
      <c r="D25" s="65">
        <v>2757</v>
      </c>
      <c r="E25" s="238">
        <f>'Pri Sec_outstanding_6'!O25+NPS_OS_8!U25</f>
        <v>541</v>
      </c>
      <c r="F25" s="238">
        <f>'CD Ratio_3(i)'!F25</f>
        <v>23416</v>
      </c>
      <c r="G25" s="254">
        <f t="shared" si="1"/>
        <v>11.774000683293474</v>
      </c>
      <c r="H25" s="36">
        <f>NPA_PS_14!N25+NPA_NPS_15!L24</f>
        <v>2751.85</v>
      </c>
      <c r="I25" s="154">
        <f t="shared" si="2"/>
        <v>-5.1500000000000909</v>
      </c>
      <c r="J25" s="36"/>
      <c r="K25" s="36"/>
      <c r="L25" s="238">
        <v>21</v>
      </c>
      <c r="M25" s="65">
        <v>2661</v>
      </c>
      <c r="N25" s="323">
        <f t="shared" si="0"/>
        <v>96</v>
      </c>
    </row>
    <row r="26" spans="1:14" ht="15" customHeight="1">
      <c r="A26" s="172">
        <v>21</v>
      </c>
      <c r="B26" s="148" t="s">
        <v>211</v>
      </c>
      <c r="C26" s="238">
        <v>493</v>
      </c>
      <c r="D26" s="65">
        <v>8125</v>
      </c>
      <c r="E26" s="238">
        <f>'Pri Sec_outstanding_6'!O26+NPS_OS_8!U26</f>
        <v>4182</v>
      </c>
      <c r="F26" s="238">
        <f>'CD Ratio_3(i)'!F26</f>
        <v>30151</v>
      </c>
      <c r="G26" s="254">
        <f t="shared" si="1"/>
        <v>26.947696593811152</v>
      </c>
      <c r="H26" s="36">
        <f>NPA_PS_14!N26+NPA_NPS_15!L25</f>
        <v>722.7</v>
      </c>
      <c r="I26" s="154">
        <f t="shared" si="2"/>
        <v>-7402.3</v>
      </c>
      <c r="J26" s="36"/>
      <c r="K26" s="36"/>
      <c r="L26" s="238">
        <v>0</v>
      </c>
      <c r="M26" s="65">
        <v>0</v>
      </c>
      <c r="N26" s="323">
        <f t="shared" si="0"/>
        <v>8125</v>
      </c>
    </row>
    <row r="27" spans="1:14" ht="15" customHeight="1">
      <c r="A27" s="172">
        <v>22</v>
      </c>
      <c r="B27" s="148" t="s">
        <v>70</v>
      </c>
      <c r="C27" s="238">
        <v>110703</v>
      </c>
      <c r="D27" s="65">
        <v>104310</v>
      </c>
      <c r="E27" s="238">
        <f>'Pri Sec_outstanding_6'!O27+NPS_OS_8!U27</f>
        <v>2143773</v>
      </c>
      <c r="F27" s="238">
        <f>'CD Ratio_3(i)'!F27</f>
        <v>5740800</v>
      </c>
      <c r="G27" s="254">
        <f t="shared" si="1"/>
        <v>1.8169941471571907</v>
      </c>
      <c r="H27" s="36">
        <f>NPA_PS_14!N27+NPA_NPS_15!L26</f>
        <v>108165</v>
      </c>
      <c r="I27" s="154">
        <f t="shared" si="2"/>
        <v>3855</v>
      </c>
      <c r="J27" s="36"/>
      <c r="K27" s="36"/>
      <c r="L27" s="238">
        <v>123767</v>
      </c>
      <c r="M27" s="65">
        <v>119490</v>
      </c>
      <c r="N27" s="323">
        <f t="shared" si="0"/>
        <v>-15180</v>
      </c>
    </row>
    <row r="28" spans="1:14" ht="15" customHeight="1">
      <c r="A28" s="172">
        <v>23</v>
      </c>
      <c r="B28" s="148" t="s">
        <v>65</v>
      </c>
      <c r="C28" s="238">
        <v>10281</v>
      </c>
      <c r="D28" s="65">
        <v>20922</v>
      </c>
      <c r="E28" s="238">
        <f>'Pri Sec_outstanding_6'!O28+NPS_OS_8!U28</f>
        <v>48132</v>
      </c>
      <c r="F28" s="238">
        <f>'CD Ratio_3(i)'!F28</f>
        <v>157631</v>
      </c>
      <c r="G28" s="254">
        <f t="shared" si="1"/>
        <v>13.272769950073272</v>
      </c>
      <c r="H28" s="36">
        <f>NPA_PS_14!N28+NPA_NPS_15!L27</f>
        <v>18959</v>
      </c>
      <c r="I28" s="154">
        <f t="shared" si="2"/>
        <v>-1963</v>
      </c>
      <c r="J28" s="36"/>
      <c r="K28" s="36"/>
      <c r="L28" s="238">
        <v>10541</v>
      </c>
      <c r="M28" s="65">
        <v>20497</v>
      </c>
      <c r="N28" s="323">
        <f t="shared" si="0"/>
        <v>425</v>
      </c>
    </row>
    <row r="29" spans="1:14" ht="15" customHeight="1">
      <c r="A29" s="172">
        <v>24</v>
      </c>
      <c r="B29" s="148" t="s">
        <v>212</v>
      </c>
      <c r="C29" s="238">
        <v>17064</v>
      </c>
      <c r="D29" s="65">
        <v>65064.61</v>
      </c>
      <c r="E29" s="238">
        <f>'Pri Sec_outstanding_6'!O29+NPS_OS_8!U29</f>
        <v>145448</v>
      </c>
      <c r="F29" s="238">
        <f>'CD Ratio_3(i)'!F29</f>
        <v>453356.33</v>
      </c>
      <c r="G29" s="254">
        <f t="shared" si="1"/>
        <v>14.35175946479009</v>
      </c>
      <c r="H29" s="36">
        <f>NPA_PS_14!N29+NPA_NPS_15!L28</f>
        <v>59938</v>
      </c>
      <c r="I29" s="154">
        <f t="shared" si="2"/>
        <v>-5126.6100000000006</v>
      </c>
      <c r="J29" s="36"/>
      <c r="K29" s="36"/>
      <c r="L29" s="238">
        <v>15424</v>
      </c>
      <c r="M29" s="65">
        <v>72819.03</v>
      </c>
      <c r="N29" s="323">
        <f t="shared" si="0"/>
        <v>-7754.4199999999983</v>
      </c>
    </row>
    <row r="30" spans="1:14" ht="15" customHeight="1">
      <c r="A30" s="172">
        <v>25</v>
      </c>
      <c r="B30" s="148" t="s">
        <v>66</v>
      </c>
      <c r="C30" s="238">
        <v>48772</v>
      </c>
      <c r="D30" s="65">
        <v>70969</v>
      </c>
      <c r="E30" s="238">
        <f>'Pri Sec_outstanding_6'!O30+NPS_OS_8!U30</f>
        <v>233340</v>
      </c>
      <c r="F30" s="238">
        <f>'CD Ratio_3(i)'!F30</f>
        <v>976124.27</v>
      </c>
      <c r="G30" s="254">
        <f t="shared" si="1"/>
        <v>7.270488213555022</v>
      </c>
      <c r="H30" s="36">
        <f>NPA_PS_14!N30+NPA_NPS_15!L29</f>
        <v>54592.61</v>
      </c>
      <c r="I30" s="154">
        <f t="shared" si="2"/>
        <v>-16376.39</v>
      </c>
      <c r="J30" s="36"/>
      <c r="K30" s="36"/>
      <c r="L30" s="238">
        <v>51659</v>
      </c>
      <c r="M30" s="65">
        <v>67928</v>
      </c>
      <c r="N30" s="323">
        <f t="shared" si="0"/>
        <v>3041</v>
      </c>
    </row>
    <row r="31" spans="1:14" ht="15" customHeight="1">
      <c r="A31" s="172">
        <v>26</v>
      </c>
      <c r="B31" s="251" t="s">
        <v>67</v>
      </c>
      <c r="C31" s="238">
        <v>209</v>
      </c>
      <c r="D31" s="65">
        <v>8584</v>
      </c>
      <c r="E31" s="238">
        <f>'Pri Sec_outstanding_6'!O31+NPS_OS_8!U31</f>
        <v>2544</v>
      </c>
      <c r="F31" s="238">
        <f>'CD Ratio_3(i)'!F31</f>
        <v>28907</v>
      </c>
      <c r="G31" s="254">
        <f t="shared" si="1"/>
        <v>29.695229529179784</v>
      </c>
      <c r="H31" s="36">
        <f>NPA_PS_14!N31+NPA_NPS_15!L30</f>
        <v>28017.16</v>
      </c>
      <c r="I31" s="154">
        <f t="shared" si="2"/>
        <v>19433.16</v>
      </c>
      <c r="J31" s="36"/>
      <c r="K31" s="36"/>
      <c r="L31" s="238">
        <v>193</v>
      </c>
      <c r="M31" s="65">
        <v>8386</v>
      </c>
      <c r="N31" s="323">
        <f t="shared" si="0"/>
        <v>198</v>
      </c>
    </row>
    <row r="32" spans="1:14" ht="15" customHeight="1">
      <c r="A32" s="172">
        <v>27</v>
      </c>
      <c r="B32" s="148" t="s">
        <v>50</v>
      </c>
      <c r="C32" s="238">
        <v>1072</v>
      </c>
      <c r="D32" s="65">
        <v>2644.27</v>
      </c>
      <c r="E32" s="238">
        <f>'Pri Sec_outstanding_6'!O32+NPS_OS_8!U32</f>
        <v>22873</v>
      </c>
      <c r="F32" s="238">
        <f>'CD Ratio_3(i)'!F32</f>
        <v>90448</v>
      </c>
      <c r="G32" s="254">
        <f t="shared" si="1"/>
        <v>2.9235251194056255</v>
      </c>
      <c r="H32" s="36">
        <f>NPA_PS_14!N32+NPA_NPS_15!L31</f>
        <v>9196.2099999999991</v>
      </c>
      <c r="I32" s="154">
        <f t="shared" si="2"/>
        <v>6551.9399999999987</v>
      </c>
      <c r="J32" s="36"/>
      <c r="K32" s="36"/>
      <c r="L32" s="238">
        <v>1205</v>
      </c>
      <c r="M32" s="65">
        <v>3023</v>
      </c>
      <c r="N32" s="323">
        <f t="shared" si="0"/>
        <v>-378.73</v>
      </c>
    </row>
    <row r="33" spans="1:14" s="42" customFormat="1" ht="15" customHeight="1">
      <c r="A33" s="222"/>
      <c r="B33" s="151" t="s">
        <v>286</v>
      </c>
      <c r="C33" s="240">
        <f>SUM(C6:C32)</f>
        <v>406751</v>
      </c>
      <c r="D33" s="240">
        <f>SUM(D6:D32)</f>
        <v>1084104.1600000001</v>
      </c>
      <c r="E33" s="240">
        <f>'Pri Sec_outstanding_6'!O33+NPS_OS_8!U33</f>
        <v>4822016</v>
      </c>
      <c r="F33" s="240">
        <f>'CD Ratio_3(i)'!F33</f>
        <v>15741730.98</v>
      </c>
      <c r="G33" s="255">
        <f t="shared" si="1"/>
        <v>6.8868167127069029</v>
      </c>
      <c r="H33" s="42">
        <f>NPA_PS_14!N33+NPA_NPS_15!L32</f>
        <v>663270.61</v>
      </c>
      <c r="I33" s="257">
        <f t="shared" si="2"/>
        <v>-420833.55000000016</v>
      </c>
      <c r="J33" s="257"/>
      <c r="K33" s="154"/>
      <c r="L33" s="240">
        <v>410116</v>
      </c>
      <c r="M33" s="321">
        <v>927211.02</v>
      </c>
      <c r="N33" s="323">
        <f t="shared" si="0"/>
        <v>156893.14000000013</v>
      </c>
    </row>
    <row r="34" spans="1:14" ht="15" customHeight="1">
      <c r="A34" s="172">
        <v>28</v>
      </c>
      <c r="B34" s="148" t="s">
        <v>47</v>
      </c>
      <c r="C34" s="238">
        <v>3570</v>
      </c>
      <c r="D34" s="65">
        <v>18206.93</v>
      </c>
      <c r="E34" s="238">
        <f>'Pri Sec_outstanding_6'!O34+NPS_OS_8!U34</f>
        <v>214010</v>
      </c>
      <c r="F34" s="238">
        <f>'CD Ratio_3(i)'!F34</f>
        <v>628640.5</v>
      </c>
      <c r="G34" s="254">
        <f t="shared" si="1"/>
        <v>2.896238788305876</v>
      </c>
      <c r="H34" s="36">
        <f>NPA_PS_14!N34+NPA_NPS_15!L33</f>
        <v>430421.09</v>
      </c>
      <c r="I34" s="154">
        <f t="shared" si="2"/>
        <v>412214.16000000003</v>
      </c>
      <c r="L34" s="238">
        <v>2437</v>
      </c>
      <c r="M34" s="65">
        <v>6098.16</v>
      </c>
      <c r="N34" s="323">
        <f t="shared" si="0"/>
        <v>12108.77</v>
      </c>
    </row>
    <row r="35" spans="1:14" ht="15" customHeight="1">
      <c r="A35" s="172">
        <v>29</v>
      </c>
      <c r="B35" s="148" t="s">
        <v>214</v>
      </c>
      <c r="C35" s="238">
        <v>0</v>
      </c>
      <c r="D35" s="65">
        <v>0</v>
      </c>
      <c r="E35" s="238">
        <f>'Pri Sec_outstanding_6'!O35+NPS_OS_8!U35</f>
        <v>245136</v>
      </c>
      <c r="F35" s="238">
        <f>'CD Ratio_3(i)'!F35</f>
        <v>74070.820000000007</v>
      </c>
      <c r="G35" s="254">
        <f t="shared" si="1"/>
        <v>0</v>
      </c>
      <c r="H35" s="36">
        <f>NPA_PS_14!N35+NPA_NPS_15!L34</f>
        <v>9743</v>
      </c>
      <c r="I35" s="154">
        <f t="shared" si="2"/>
        <v>9743</v>
      </c>
      <c r="L35" s="238">
        <v>0</v>
      </c>
      <c r="M35" s="65">
        <v>0</v>
      </c>
      <c r="N35" s="323">
        <f t="shared" si="0"/>
        <v>0</v>
      </c>
    </row>
    <row r="36" spans="1:14" ht="15" customHeight="1">
      <c r="A36" s="172">
        <v>30</v>
      </c>
      <c r="B36" s="148" t="s">
        <v>215</v>
      </c>
      <c r="C36" s="238">
        <v>0</v>
      </c>
      <c r="D36" s="65">
        <v>0</v>
      </c>
      <c r="E36" s="238">
        <f>'Pri Sec_outstanding_6'!O36+NPS_OS_8!U36</f>
        <v>153</v>
      </c>
      <c r="F36" s="238">
        <f>'CD Ratio_3(i)'!F36</f>
        <v>678.05</v>
      </c>
      <c r="G36" s="254">
        <f t="shared" si="1"/>
        <v>0</v>
      </c>
      <c r="H36" s="36">
        <f>NPA_PS_14!N36+NPA_NPS_15!L35</f>
        <v>0</v>
      </c>
      <c r="I36" s="154">
        <f t="shared" si="2"/>
        <v>0</v>
      </c>
      <c r="L36" s="238">
        <v>0</v>
      </c>
      <c r="M36" s="65">
        <v>0</v>
      </c>
      <c r="N36" s="323">
        <f t="shared" si="0"/>
        <v>0</v>
      </c>
    </row>
    <row r="37" spans="1:14" ht="15" customHeight="1">
      <c r="A37" s="172">
        <v>31</v>
      </c>
      <c r="B37" s="148" t="s">
        <v>78</v>
      </c>
      <c r="C37" s="238">
        <v>0</v>
      </c>
      <c r="D37" s="65">
        <v>0</v>
      </c>
      <c r="E37" s="238">
        <f>'Pri Sec_outstanding_6'!O37+NPS_OS_8!U37</f>
        <v>1</v>
      </c>
      <c r="F37" s="238">
        <f>'CD Ratio_3(i)'!F37</f>
        <v>1</v>
      </c>
      <c r="G37" s="254">
        <f t="shared" si="1"/>
        <v>0</v>
      </c>
      <c r="H37" s="36">
        <f>NPA_PS_14!N37+NPA_NPS_15!L36</f>
        <v>0</v>
      </c>
      <c r="I37" s="154">
        <f t="shared" si="2"/>
        <v>0</v>
      </c>
      <c r="L37" s="238">
        <v>0</v>
      </c>
      <c r="M37" s="65">
        <v>0</v>
      </c>
      <c r="N37" s="323">
        <f t="shared" si="0"/>
        <v>0</v>
      </c>
    </row>
    <row r="38" spans="1:14" ht="15" customHeight="1">
      <c r="A38" s="172">
        <v>32</v>
      </c>
      <c r="B38" s="148" t="s">
        <v>51</v>
      </c>
      <c r="C38" s="238">
        <v>6</v>
      </c>
      <c r="D38" s="65">
        <v>194.74</v>
      </c>
      <c r="E38" s="238">
        <f>'Pri Sec_outstanding_6'!O38+NPS_OS_8!U38</f>
        <v>311</v>
      </c>
      <c r="F38" s="238">
        <f>'CD Ratio_3(i)'!F38</f>
        <v>9412.56</v>
      </c>
      <c r="G38" s="254">
        <f t="shared" si="1"/>
        <v>2.0689376747664823</v>
      </c>
      <c r="H38" s="36">
        <f>NPA_PS_14!N38+NPA_NPS_15!L37</f>
        <v>155.02000000000001</v>
      </c>
      <c r="I38" s="154">
        <f t="shared" si="2"/>
        <v>-39.72</v>
      </c>
      <c r="L38" s="238">
        <v>0</v>
      </c>
      <c r="M38" s="65">
        <v>0</v>
      </c>
      <c r="N38" s="323">
        <f t="shared" ref="N38:N63" si="3">D38-M38</f>
        <v>194.74</v>
      </c>
    </row>
    <row r="39" spans="1:14" ht="15" customHeight="1">
      <c r="A39" s="172">
        <v>33</v>
      </c>
      <c r="B39" s="148" t="s">
        <v>216</v>
      </c>
      <c r="C39" s="238">
        <v>426</v>
      </c>
      <c r="D39" s="65">
        <v>1671.33</v>
      </c>
      <c r="E39" s="238">
        <f>'Pri Sec_outstanding_6'!O39+NPS_OS_8!U39</f>
        <v>26877</v>
      </c>
      <c r="F39" s="238">
        <f>'CD Ratio_3(i)'!F39</f>
        <v>56378.25</v>
      </c>
      <c r="G39" s="254">
        <f t="shared" si="1"/>
        <v>2.9644942863604316</v>
      </c>
      <c r="H39" s="36">
        <f>NPA_PS_14!N39+NPA_NPS_15!L38</f>
        <v>1297.19</v>
      </c>
      <c r="I39" s="154">
        <f t="shared" si="2"/>
        <v>-374.13999999999987</v>
      </c>
      <c r="L39" s="238">
        <v>0</v>
      </c>
      <c r="M39" s="65">
        <v>0</v>
      </c>
      <c r="N39" s="323">
        <f t="shared" si="3"/>
        <v>1671.33</v>
      </c>
    </row>
    <row r="40" spans="1:14" ht="15" customHeight="1">
      <c r="A40" s="172">
        <v>34</v>
      </c>
      <c r="B40" s="148" t="s">
        <v>217</v>
      </c>
      <c r="C40" s="238">
        <v>0</v>
      </c>
      <c r="D40" s="65">
        <v>0</v>
      </c>
      <c r="E40" s="238">
        <f>'Pri Sec_outstanding_6'!O40+NPS_OS_8!U40</f>
        <v>25</v>
      </c>
      <c r="F40" s="238">
        <f>'CD Ratio_3(i)'!F40</f>
        <v>41.06</v>
      </c>
      <c r="G40" s="254">
        <f t="shared" si="1"/>
        <v>0</v>
      </c>
      <c r="H40" s="36">
        <f>NPA_PS_14!N40+NPA_NPS_15!L39</f>
        <v>413.87</v>
      </c>
      <c r="I40" s="154">
        <f t="shared" si="2"/>
        <v>413.87</v>
      </c>
      <c r="L40" s="238">
        <v>0</v>
      </c>
      <c r="M40" s="65">
        <v>0</v>
      </c>
      <c r="N40" s="323">
        <f t="shared" si="3"/>
        <v>0</v>
      </c>
    </row>
    <row r="41" spans="1:14" ht="15" customHeight="1">
      <c r="A41" s="172">
        <v>35</v>
      </c>
      <c r="B41" s="148" t="s">
        <v>218</v>
      </c>
      <c r="C41" s="238">
        <v>33</v>
      </c>
      <c r="D41" s="65">
        <v>1173</v>
      </c>
      <c r="E41" s="238">
        <f>'Pri Sec_outstanding_6'!O41+NPS_OS_8!U41</f>
        <v>5645</v>
      </c>
      <c r="F41" s="238">
        <f>'CD Ratio_3(i)'!F41</f>
        <v>18364</v>
      </c>
      <c r="G41" s="254">
        <f t="shared" si="1"/>
        <v>6.3874972772816383</v>
      </c>
      <c r="H41" s="36">
        <f>NPA_PS_14!N41+NPA_NPS_15!L40</f>
        <v>47</v>
      </c>
      <c r="I41" s="154">
        <f t="shared" si="2"/>
        <v>-1126</v>
      </c>
      <c r="L41" s="238">
        <v>28</v>
      </c>
      <c r="M41" s="65">
        <v>1170.77</v>
      </c>
      <c r="N41" s="323">
        <f t="shared" si="3"/>
        <v>2.2300000000000182</v>
      </c>
    </row>
    <row r="42" spans="1:14" ht="15" customHeight="1">
      <c r="A42" s="172">
        <v>36</v>
      </c>
      <c r="B42" s="148" t="s">
        <v>71</v>
      </c>
      <c r="C42" s="238">
        <v>15162</v>
      </c>
      <c r="D42" s="65">
        <v>25639</v>
      </c>
      <c r="E42" s="238">
        <f>'Pri Sec_outstanding_6'!O42+NPS_OS_8!U42</f>
        <v>590294</v>
      </c>
      <c r="F42" s="238">
        <f>'CD Ratio_3(i)'!F42</f>
        <v>1311460</v>
      </c>
      <c r="G42" s="254">
        <f t="shared" si="1"/>
        <v>1.9549967212114743</v>
      </c>
      <c r="H42" s="36">
        <f>NPA_PS_14!N42+NPA_NPS_15!L41</f>
        <v>16891</v>
      </c>
      <c r="I42" s="154">
        <f t="shared" si="2"/>
        <v>-8748</v>
      </c>
      <c r="L42" s="238">
        <v>10050</v>
      </c>
      <c r="M42" s="65">
        <v>22010.79</v>
      </c>
      <c r="N42" s="323">
        <f t="shared" si="3"/>
        <v>3628.2099999999991</v>
      </c>
    </row>
    <row r="43" spans="1:14" ht="15" customHeight="1">
      <c r="A43" s="172">
        <v>37</v>
      </c>
      <c r="B43" s="148" t="s">
        <v>72</v>
      </c>
      <c r="C43" s="238">
        <v>17380</v>
      </c>
      <c r="D43" s="65">
        <v>22407</v>
      </c>
      <c r="E43" s="238">
        <f>'Pri Sec_outstanding_6'!O43+NPS_OS_8!U43</f>
        <v>215371</v>
      </c>
      <c r="F43" s="238">
        <f>'CD Ratio_3(i)'!F43</f>
        <v>1111730</v>
      </c>
      <c r="G43" s="254">
        <f t="shared" si="1"/>
        <v>2.0155073623991435</v>
      </c>
      <c r="H43" s="36">
        <f>NPA_PS_14!N43+NPA_NPS_15!L42</f>
        <v>21436</v>
      </c>
      <c r="I43" s="154">
        <f t="shared" si="2"/>
        <v>-971</v>
      </c>
      <c r="L43" s="238">
        <v>8429</v>
      </c>
      <c r="M43" s="65">
        <v>14867</v>
      </c>
      <c r="N43" s="323">
        <f t="shared" si="3"/>
        <v>7540</v>
      </c>
    </row>
    <row r="44" spans="1:14" ht="15" customHeight="1">
      <c r="A44" s="172">
        <v>38</v>
      </c>
      <c r="B44" s="148" t="s">
        <v>219</v>
      </c>
      <c r="C44" s="238">
        <v>3641</v>
      </c>
      <c r="D44" s="65">
        <v>258</v>
      </c>
      <c r="E44" s="238">
        <f>'Pri Sec_outstanding_6'!O44+NPS_OS_8!U44</f>
        <v>108307</v>
      </c>
      <c r="F44" s="238">
        <f>'CD Ratio_3(i)'!F44</f>
        <v>18890</v>
      </c>
      <c r="G44" s="254">
        <f t="shared" si="1"/>
        <v>1.3658020116463738</v>
      </c>
      <c r="H44" s="36">
        <f>NPA_PS_14!N44+NPA_NPS_15!L43</f>
        <v>11103</v>
      </c>
      <c r="I44" s="154">
        <f t="shared" si="2"/>
        <v>10845</v>
      </c>
      <c r="L44" s="238">
        <v>0</v>
      </c>
      <c r="M44" s="65">
        <v>0</v>
      </c>
      <c r="N44" s="323">
        <f t="shared" si="3"/>
        <v>258</v>
      </c>
    </row>
    <row r="45" spans="1:14" ht="15" customHeight="1">
      <c r="A45" s="172">
        <v>39</v>
      </c>
      <c r="B45" s="148" t="s">
        <v>220</v>
      </c>
      <c r="C45" s="238">
        <v>6080</v>
      </c>
      <c r="D45" s="65">
        <v>2233.41</v>
      </c>
      <c r="E45" s="238">
        <f>'Pri Sec_outstanding_6'!O45+NPS_OS_8!U45</f>
        <v>122030</v>
      </c>
      <c r="F45" s="238">
        <f>'CD Ratio_3(i)'!F45</f>
        <v>290400</v>
      </c>
      <c r="G45" s="254">
        <f t="shared" si="1"/>
        <v>0.76908057851239664</v>
      </c>
      <c r="H45" s="36">
        <f>NPA_PS_14!N45+NPA_NPS_15!L44</f>
        <v>1346.19</v>
      </c>
      <c r="I45" s="154">
        <f t="shared" si="2"/>
        <v>-887.2199999999998</v>
      </c>
      <c r="L45" s="238">
        <v>5935</v>
      </c>
      <c r="M45" s="65">
        <v>2139</v>
      </c>
      <c r="N45" s="323">
        <f t="shared" si="3"/>
        <v>94.409999999999854</v>
      </c>
    </row>
    <row r="46" spans="1:14" ht="15" customHeight="1">
      <c r="A46" s="172">
        <v>40</v>
      </c>
      <c r="B46" s="148" t="s">
        <v>221</v>
      </c>
      <c r="C46" s="238">
        <v>96</v>
      </c>
      <c r="D46" s="65">
        <v>435</v>
      </c>
      <c r="E46" s="238">
        <f>'Pri Sec_outstanding_6'!O46+NPS_OS_8!U46</f>
        <v>551</v>
      </c>
      <c r="F46" s="238">
        <f>'CD Ratio_3(i)'!F46</f>
        <v>3224</v>
      </c>
      <c r="G46" s="254">
        <f t="shared" si="1"/>
        <v>13.492555831265509</v>
      </c>
      <c r="H46" s="36">
        <f>NPA_PS_14!N46+NPA_NPS_15!L45</f>
        <v>1204.22</v>
      </c>
      <c r="I46" s="154">
        <f t="shared" si="2"/>
        <v>769.22</v>
      </c>
      <c r="L46" s="238">
        <v>0</v>
      </c>
      <c r="M46" s="65">
        <v>0</v>
      </c>
      <c r="N46" s="323">
        <f t="shared" si="3"/>
        <v>435</v>
      </c>
    </row>
    <row r="47" spans="1:14" ht="15" customHeight="1">
      <c r="A47" s="172">
        <v>41</v>
      </c>
      <c r="B47" s="148" t="s">
        <v>222</v>
      </c>
      <c r="C47" s="238">
        <v>46</v>
      </c>
      <c r="D47" s="65">
        <v>1244.28</v>
      </c>
      <c r="E47" s="238">
        <f>'Pri Sec_outstanding_6'!O47+NPS_OS_8!U47</f>
        <v>2932</v>
      </c>
      <c r="F47" s="238">
        <f>'CD Ratio_3(i)'!F47</f>
        <v>35486</v>
      </c>
      <c r="G47" s="254">
        <f t="shared" si="1"/>
        <v>3.5063968889139381</v>
      </c>
      <c r="H47" s="36">
        <f>NPA_PS_14!N47+NPA_NPS_15!L46</f>
        <v>951</v>
      </c>
      <c r="I47" s="154">
        <f t="shared" si="2"/>
        <v>-293.27999999999997</v>
      </c>
      <c r="L47" s="238">
        <v>31</v>
      </c>
      <c r="M47" s="65">
        <v>1033.99</v>
      </c>
      <c r="N47" s="323">
        <f t="shared" si="3"/>
        <v>210.28999999999996</v>
      </c>
    </row>
    <row r="48" spans="1:14" ht="15" customHeight="1">
      <c r="A48" s="172">
        <v>42</v>
      </c>
      <c r="B48" s="148" t="s">
        <v>223</v>
      </c>
      <c r="C48" s="238">
        <v>0</v>
      </c>
      <c r="D48" s="65">
        <v>0</v>
      </c>
      <c r="E48" s="238">
        <f>'Pri Sec_outstanding_6'!O48+NPS_OS_8!U48</f>
        <v>1588</v>
      </c>
      <c r="F48" s="238">
        <f>'CD Ratio_3(i)'!F48</f>
        <v>15667</v>
      </c>
      <c r="G48" s="254">
        <f t="shared" si="1"/>
        <v>0</v>
      </c>
      <c r="H48" s="36">
        <f>NPA_PS_14!N48+NPA_NPS_15!L47</f>
        <v>411</v>
      </c>
      <c r="I48" s="154">
        <f t="shared" si="2"/>
        <v>411</v>
      </c>
      <c r="L48" s="238">
        <v>0</v>
      </c>
      <c r="M48" s="65">
        <v>0</v>
      </c>
      <c r="N48" s="323">
        <f t="shared" si="3"/>
        <v>0</v>
      </c>
    </row>
    <row r="49" spans="1:14" ht="15" customHeight="1">
      <c r="A49" s="172">
        <v>43</v>
      </c>
      <c r="B49" s="148" t="s">
        <v>73</v>
      </c>
      <c r="C49" s="238">
        <v>1449</v>
      </c>
      <c r="D49" s="65">
        <v>4346</v>
      </c>
      <c r="E49" s="238">
        <f>'Pri Sec_outstanding_6'!O49+NPS_OS_8!U49</f>
        <v>42931</v>
      </c>
      <c r="F49" s="238">
        <f>'CD Ratio_3(i)'!F49</f>
        <v>231599</v>
      </c>
      <c r="G49" s="254">
        <f t="shared" si="1"/>
        <v>1.8765193286672222</v>
      </c>
      <c r="H49" s="36">
        <f>NPA_PS_14!N49+NPA_NPS_15!L48</f>
        <v>4158</v>
      </c>
      <c r="I49" s="154">
        <f t="shared" si="2"/>
        <v>-188</v>
      </c>
      <c r="L49" s="238">
        <v>1338</v>
      </c>
      <c r="M49" s="65">
        <v>4099</v>
      </c>
      <c r="N49" s="323">
        <f t="shared" si="3"/>
        <v>247</v>
      </c>
    </row>
    <row r="50" spans="1:14" ht="15" customHeight="1">
      <c r="A50" s="172">
        <v>44</v>
      </c>
      <c r="B50" s="148" t="s">
        <v>224</v>
      </c>
      <c r="C50" s="238">
        <v>7</v>
      </c>
      <c r="D50" s="65">
        <v>36</v>
      </c>
      <c r="E50" s="238">
        <f>'Pri Sec_outstanding_6'!O50+NPS_OS_8!U50</f>
        <v>203</v>
      </c>
      <c r="F50" s="238">
        <f>'CD Ratio_3(i)'!F50</f>
        <v>5895</v>
      </c>
      <c r="G50" s="254">
        <f t="shared" si="1"/>
        <v>0.61068702290076338</v>
      </c>
      <c r="H50" s="36">
        <f>NPA_PS_14!N50+NPA_NPS_15!L49</f>
        <v>202.4</v>
      </c>
      <c r="I50" s="154">
        <f t="shared" si="2"/>
        <v>166.4</v>
      </c>
      <c r="L50" s="238">
        <v>7</v>
      </c>
      <c r="M50" s="65">
        <v>24.62</v>
      </c>
      <c r="N50" s="323">
        <f t="shared" si="3"/>
        <v>11.379999999999999</v>
      </c>
    </row>
    <row r="51" spans="1:14" ht="15" customHeight="1">
      <c r="A51" s="172">
        <v>45</v>
      </c>
      <c r="B51" s="148" t="s">
        <v>225</v>
      </c>
      <c r="C51" s="238">
        <v>2148</v>
      </c>
      <c r="D51" s="65">
        <v>1285.5999999999999</v>
      </c>
      <c r="E51" s="238">
        <f>'Pri Sec_outstanding_6'!O51+NPS_OS_8!U51</f>
        <v>179986</v>
      </c>
      <c r="F51" s="238">
        <f>'CD Ratio_3(i)'!F51</f>
        <v>68912</v>
      </c>
      <c r="G51" s="254">
        <f t="shared" si="1"/>
        <v>1.8655676805200834</v>
      </c>
      <c r="H51" s="36">
        <f>NPA_PS_14!N51+NPA_NPS_15!L50</f>
        <v>1274.5999999999999</v>
      </c>
      <c r="I51" s="154">
        <f t="shared" si="2"/>
        <v>-11</v>
      </c>
      <c r="L51" s="238">
        <v>1463</v>
      </c>
      <c r="M51" s="65">
        <v>222.9</v>
      </c>
      <c r="N51" s="323">
        <f t="shared" si="3"/>
        <v>1062.6999999999998</v>
      </c>
    </row>
    <row r="52" spans="1:14" ht="15" customHeight="1">
      <c r="A52" s="172">
        <v>46</v>
      </c>
      <c r="B52" s="148" t="s">
        <v>226</v>
      </c>
      <c r="C52" s="238">
        <v>0</v>
      </c>
      <c r="D52" s="65">
        <v>0</v>
      </c>
      <c r="E52" s="238">
        <f>'Pri Sec_outstanding_6'!O52+NPS_OS_8!U52</f>
        <v>224</v>
      </c>
      <c r="F52" s="238">
        <f>'CD Ratio_3(i)'!F52</f>
        <v>5960.2</v>
      </c>
      <c r="G52" s="254">
        <f t="shared" si="1"/>
        <v>0</v>
      </c>
      <c r="H52" s="36">
        <f>NPA_PS_14!N52+NPA_NPS_15!L51</f>
        <v>33</v>
      </c>
      <c r="I52" s="154">
        <f t="shared" si="2"/>
        <v>33</v>
      </c>
      <c r="L52" s="238">
        <v>0</v>
      </c>
      <c r="M52" s="65">
        <v>0</v>
      </c>
      <c r="N52" s="323">
        <f t="shared" si="3"/>
        <v>0</v>
      </c>
    </row>
    <row r="53" spans="1:14" ht="15" customHeight="1">
      <c r="A53" s="172">
        <v>47</v>
      </c>
      <c r="B53" s="148" t="s">
        <v>77</v>
      </c>
      <c r="C53" s="238">
        <v>0</v>
      </c>
      <c r="D53" s="65">
        <v>0</v>
      </c>
      <c r="E53" s="238">
        <f>'Pri Sec_outstanding_6'!O53+NPS_OS_8!U53</f>
        <v>122</v>
      </c>
      <c r="F53" s="238">
        <f>'CD Ratio_3(i)'!F53</f>
        <v>1974</v>
      </c>
      <c r="G53" s="254">
        <f t="shared" si="1"/>
        <v>0</v>
      </c>
      <c r="H53" s="36">
        <f>NPA_PS_14!N53+NPA_NPS_15!L52</f>
        <v>0</v>
      </c>
      <c r="I53" s="154">
        <f t="shared" si="2"/>
        <v>0</v>
      </c>
      <c r="L53" s="238">
        <v>0</v>
      </c>
      <c r="M53" s="65">
        <v>0</v>
      </c>
      <c r="N53" s="323">
        <f t="shared" si="3"/>
        <v>0</v>
      </c>
    </row>
    <row r="54" spans="1:14" ht="15" customHeight="1">
      <c r="A54" s="172">
        <v>48</v>
      </c>
      <c r="B54" s="148" t="s">
        <v>227</v>
      </c>
      <c r="C54" s="238">
        <v>0</v>
      </c>
      <c r="D54" s="65">
        <v>0</v>
      </c>
      <c r="E54" s="238">
        <f>'Pri Sec_outstanding_6'!O54+NPS_OS_8!U54</f>
        <v>729</v>
      </c>
      <c r="F54" s="238">
        <f>'CD Ratio_3(i)'!F54</f>
        <v>5256.98</v>
      </c>
      <c r="G54" s="254">
        <f t="shared" si="1"/>
        <v>0</v>
      </c>
      <c r="H54" s="36">
        <f>NPA_PS_14!N54+NPA_NPS_15!L53</f>
        <v>0</v>
      </c>
      <c r="I54" s="154">
        <f t="shared" si="2"/>
        <v>0</v>
      </c>
      <c r="L54" s="238">
        <v>0</v>
      </c>
      <c r="M54" s="65">
        <v>0</v>
      </c>
      <c r="N54" s="323">
        <f t="shared" si="3"/>
        <v>0</v>
      </c>
    </row>
    <row r="55" spans="1:14" ht="15" customHeight="1">
      <c r="A55" s="172">
        <v>49</v>
      </c>
      <c r="B55" s="148" t="s">
        <v>76</v>
      </c>
      <c r="C55" s="238">
        <v>30</v>
      </c>
      <c r="D55" s="65">
        <v>593.24</v>
      </c>
      <c r="E55" s="238">
        <f>'Pri Sec_outstanding_6'!O55+NPS_OS_8!U55</f>
        <v>24355</v>
      </c>
      <c r="F55" s="238">
        <f>'CD Ratio_3(i)'!F55</f>
        <v>90252.9</v>
      </c>
      <c r="G55" s="254">
        <f t="shared" si="1"/>
        <v>0.65730851861823836</v>
      </c>
      <c r="H55" s="36">
        <f>NPA_PS_14!N55+NPA_NPS_15!L54</f>
        <v>588.37</v>
      </c>
      <c r="I55" s="154">
        <f t="shared" si="2"/>
        <v>-4.8700000000000045</v>
      </c>
      <c r="L55" s="238">
        <v>11</v>
      </c>
      <c r="M55" s="65">
        <v>348.65</v>
      </c>
      <c r="N55" s="323">
        <f t="shared" si="3"/>
        <v>244.59000000000003</v>
      </c>
    </row>
    <row r="56" spans="1:14" s="42" customFormat="1" ht="15" customHeight="1">
      <c r="A56" s="151"/>
      <c r="B56" s="151" t="s">
        <v>287</v>
      </c>
      <c r="C56" s="240">
        <f>SUM(C34:C55)</f>
        <v>50074</v>
      </c>
      <c r="D56" s="240">
        <f>SUM(D34:D55)</f>
        <v>79723.530000000013</v>
      </c>
      <c r="E56" s="240">
        <f>'Pri Sec_outstanding_6'!O56+NPS_OS_8!U56</f>
        <v>1781781</v>
      </c>
      <c r="F56" s="240">
        <f>'CD Ratio_3(i)'!F56</f>
        <v>3984293.3200000003</v>
      </c>
      <c r="G56" s="255">
        <f t="shared" si="1"/>
        <v>2.0009453018885668</v>
      </c>
      <c r="H56" s="42">
        <f>NPA_PS_14!N56+NPA_NPS_15!L55</f>
        <v>46022.73000000001</v>
      </c>
      <c r="I56" s="257">
        <f t="shared" si="2"/>
        <v>-33700.800000000003</v>
      </c>
      <c r="J56" s="257"/>
      <c r="K56" s="154"/>
      <c r="L56" s="240">
        <v>29729</v>
      </c>
      <c r="M56" s="321">
        <v>52014.880000000005</v>
      </c>
      <c r="N56" s="323">
        <f t="shared" si="3"/>
        <v>27708.650000000009</v>
      </c>
    </row>
    <row r="57" spans="1:14" ht="15" customHeight="1">
      <c r="A57" s="172">
        <v>50</v>
      </c>
      <c r="B57" s="148" t="s">
        <v>46</v>
      </c>
      <c r="C57" s="238">
        <v>87171</v>
      </c>
      <c r="D57" s="65">
        <v>45367.78</v>
      </c>
      <c r="E57" s="238">
        <f>'Pri Sec_outstanding_6'!O57+NPS_OS_8!U57</f>
        <v>412404</v>
      </c>
      <c r="F57" s="238">
        <f>'CD Ratio_3(i)'!F57</f>
        <v>400097.86</v>
      </c>
      <c r="G57" s="254">
        <f t="shared" si="1"/>
        <v>11.339170871846203</v>
      </c>
      <c r="H57" s="36">
        <f>NPA_PS_14!N57+NPA_NPS_15!L56</f>
        <v>76166.63</v>
      </c>
      <c r="I57" s="154">
        <f t="shared" si="2"/>
        <v>30798.850000000006</v>
      </c>
      <c r="L57" s="238">
        <v>91981</v>
      </c>
      <c r="M57" s="65">
        <v>48587</v>
      </c>
      <c r="N57" s="323">
        <f t="shared" si="3"/>
        <v>-3219.2200000000012</v>
      </c>
    </row>
    <row r="58" spans="1:14" ht="15" customHeight="1">
      <c r="A58" s="172">
        <v>51</v>
      </c>
      <c r="B58" s="148" t="s">
        <v>228</v>
      </c>
      <c r="C58" s="238">
        <v>76731</v>
      </c>
      <c r="D58" s="65">
        <v>52280</v>
      </c>
      <c r="E58" s="238">
        <f>'Pri Sec_outstanding_6'!O58+NPS_OS_8!U58</f>
        <v>354635</v>
      </c>
      <c r="F58" s="238">
        <f>'CD Ratio_3(i)'!F58</f>
        <v>259614</v>
      </c>
      <c r="G58" s="254">
        <f t="shared" si="1"/>
        <v>20.137588881955519</v>
      </c>
      <c r="H58" s="36">
        <f>NPA_PS_14!N58+NPA_NPS_15!L57</f>
        <v>54134.84</v>
      </c>
      <c r="I58" s="154">
        <f t="shared" si="2"/>
        <v>1854.8399999999965</v>
      </c>
      <c r="L58" s="238">
        <v>81025</v>
      </c>
      <c r="M58" s="65">
        <v>53337</v>
      </c>
      <c r="N58" s="323">
        <f t="shared" si="3"/>
        <v>-1057</v>
      </c>
    </row>
    <row r="59" spans="1:14" ht="15" customHeight="1">
      <c r="A59" s="172">
        <v>52</v>
      </c>
      <c r="B59" s="148" t="s">
        <v>52</v>
      </c>
      <c r="C59" s="238">
        <v>23776</v>
      </c>
      <c r="D59" s="65">
        <v>19398.009999999998</v>
      </c>
      <c r="E59" s="238">
        <f>'Pri Sec_outstanding_6'!O59+NPS_OS_8!U59</f>
        <v>360623</v>
      </c>
      <c r="F59" s="238">
        <f>'CD Ratio_3(i)'!F59</f>
        <v>448702.19</v>
      </c>
      <c r="G59" s="254">
        <f t="shared" si="1"/>
        <v>4.3231369118122638</v>
      </c>
      <c r="H59" s="36">
        <f>NPA_PS_14!N59+NPA_NPS_15!L58</f>
        <v>19969.550000000003</v>
      </c>
      <c r="I59" s="154">
        <f t="shared" si="2"/>
        <v>571.54000000000451</v>
      </c>
      <c r="L59" s="238">
        <v>22175</v>
      </c>
      <c r="M59" s="65">
        <v>16533.05</v>
      </c>
      <c r="N59" s="323">
        <f t="shared" si="3"/>
        <v>2864.9599999999991</v>
      </c>
    </row>
    <row r="60" spans="1:14" s="42" customFormat="1" ht="15" customHeight="1">
      <c r="A60" s="258"/>
      <c r="B60" s="180" t="s">
        <v>296</v>
      </c>
      <c r="C60" s="240">
        <f>SUM(C57:C59)</f>
        <v>187678</v>
      </c>
      <c r="D60" s="240">
        <f>SUM(D57:D59)</f>
        <v>117045.79</v>
      </c>
      <c r="E60" s="240">
        <f>'Pri Sec_outstanding_6'!O60+NPS_OS_8!U60</f>
        <v>1127662</v>
      </c>
      <c r="F60" s="240">
        <f>'CD Ratio_3(i)'!F60</f>
        <v>1108414.05</v>
      </c>
      <c r="G60" s="255">
        <f t="shared" si="1"/>
        <v>10.559753370141779</v>
      </c>
      <c r="I60" s="257"/>
      <c r="J60" s="257"/>
      <c r="K60" s="154"/>
      <c r="L60" s="240">
        <v>195181</v>
      </c>
      <c r="M60" s="321">
        <v>118457.05</v>
      </c>
      <c r="N60" s="323">
        <f t="shared" si="3"/>
        <v>-1411.2600000000093</v>
      </c>
    </row>
    <row r="61" spans="1:14" ht="15" customHeight="1">
      <c r="A61" s="256">
        <v>53</v>
      </c>
      <c r="B61" s="177" t="s">
        <v>288</v>
      </c>
      <c r="C61" s="238">
        <v>566962.20900000003</v>
      </c>
      <c r="D61" s="65">
        <v>363644</v>
      </c>
      <c r="E61" s="238">
        <f>'Pri Sec_outstanding_6'!O61+NPS_OS_8!U61</f>
        <v>5743008</v>
      </c>
      <c r="F61" s="238">
        <f>'CD Ratio_3(i)'!F61</f>
        <v>3171924</v>
      </c>
      <c r="G61" s="254">
        <f t="shared" si="1"/>
        <v>11.464461317484277</v>
      </c>
      <c r="L61" s="238">
        <v>0</v>
      </c>
      <c r="M61" s="65">
        <v>270486</v>
      </c>
      <c r="N61" s="323">
        <f t="shared" si="3"/>
        <v>93158</v>
      </c>
    </row>
    <row r="62" spans="1:14" s="42" customFormat="1" ht="15" customHeight="1">
      <c r="A62" s="258"/>
      <c r="B62" s="180" t="s">
        <v>289</v>
      </c>
      <c r="C62" s="240">
        <f>C61</f>
        <v>566962.20900000003</v>
      </c>
      <c r="D62" s="240">
        <f>D61</f>
        <v>363644</v>
      </c>
      <c r="E62" s="240">
        <f>'Pri Sec_outstanding_6'!O62+NPS_OS_8!U62</f>
        <v>5743008</v>
      </c>
      <c r="F62" s="240">
        <f>'CD Ratio_3(i)'!F62</f>
        <v>3171924</v>
      </c>
      <c r="G62" s="255">
        <f t="shared" si="1"/>
        <v>11.464461317484277</v>
      </c>
      <c r="I62" s="257"/>
      <c r="J62" s="257"/>
      <c r="K62" s="154"/>
      <c r="L62" s="240">
        <v>0</v>
      </c>
      <c r="M62" s="321">
        <v>270486</v>
      </c>
      <c r="N62" s="323">
        <f t="shared" si="3"/>
        <v>93158</v>
      </c>
    </row>
    <row r="63" spans="1:14" s="42" customFormat="1" ht="15" customHeight="1">
      <c r="A63" s="258"/>
      <c r="B63" s="180" t="s">
        <v>290</v>
      </c>
      <c r="C63" s="240">
        <f>C62+C60+C56+C33</f>
        <v>1211465.209</v>
      </c>
      <c r="D63" s="240">
        <f>D62+D60+D56+D33</f>
        <v>1644517.48</v>
      </c>
      <c r="E63" s="240">
        <f>'Pri Sec_outstanding_6'!O63+NPS_OS_8!U63</f>
        <v>13474467</v>
      </c>
      <c r="F63" s="240">
        <f>'CD Ratio_3(i)'!F63</f>
        <v>24006362.350000001</v>
      </c>
      <c r="G63" s="255">
        <f t="shared" si="1"/>
        <v>6.8503401557629156</v>
      </c>
      <c r="I63" s="257"/>
      <c r="J63" s="257"/>
      <c r="K63" s="154"/>
      <c r="L63" s="240">
        <v>635026</v>
      </c>
      <c r="M63" s="321">
        <v>1368168.9500000002</v>
      </c>
      <c r="N63" s="323">
        <f t="shared" si="3"/>
        <v>276348.5299999998</v>
      </c>
    </row>
    <row r="65" spans="2:6" s="36" customFormat="1">
      <c r="B65" s="154" t="s">
        <v>775</v>
      </c>
      <c r="C65" s="154"/>
      <c r="D65" s="154"/>
      <c r="E65" s="154"/>
      <c r="F65" s="154"/>
    </row>
  </sheetData>
  <sheetProtection formatCells="0" formatColumns="0" formatRows="0" insertColumns="0" insertRows="0" insertHyperlinks="0" deleteColumns="0" deleteRows="0" selectLockedCells="1" sort="0" autoFilter="0" pivotTables="0"/>
  <mergeCells count="11">
    <mergeCell ref="L4:M4"/>
    <mergeCell ref="N4:N5"/>
    <mergeCell ref="A1:G1"/>
    <mergeCell ref="E4:F4"/>
    <mergeCell ref="G4:G5"/>
    <mergeCell ref="A2:F2"/>
    <mergeCell ref="C3:D3"/>
    <mergeCell ref="A4:A5"/>
    <mergeCell ref="B4:B5"/>
    <mergeCell ref="E3:F3"/>
    <mergeCell ref="C4:D4"/>
  </mergeCells>
  <phoneticPr fontId="9" type="noConversion"/>
  <conditionalFormatting sqref="C3">
    <cfRule type="cellIs" dxfId="99" priority="16" operator="lessThan">
      <formula>0</formula>
    </cfRule>
  </conditionalFormatting>
  <conditionalFormatting sqref="E3">
    <cfRule type="cellIs" dxfId="98" priority="15" operator="lessThan">
      <formula>0</formula>
    </cfRule>
  </conditionalFormatting>
  <conditionalFormatting sqref="B6">
    <cfRule type="duplicateValues" dxfId="97" priority="9"/>
  </conditionalFormatting>
  <conditionalFormatting sqref="B22">
    <cfRule type="duplicateValues" dxfId="96" priority="10"/>
  </conditionalFormatting>
  <conditionalFormatting sqref="B33:B34 B26:B30">
    <cfRule type="duplicateValues" dxfId="95" priority="11"/>
  </conditionalFormatting>
  <conditionalFormatting sqref="B52">
    <cfRule type="duplicateValues" dxfId="94" priority="12"/>
  </conditionalFormatting>
  <conditionalFormatting sqref="B56">
    <cfRule type="duplicateValues" dxfId="93" priority="13"/>
  </conditionalFormatting>
  <conditionalFormatting sqref="B58">
    <cfRule type="duplicateValues" dxfId="92" priority="14"/>
  </conditionalFormatting>
  <conditionalFormatting sqref="K6:K63 G1:G1048576">
    <cfRule type="cellIs" dxfId="91" priority="8" operator="greaterThan">
      <formula>100</formula>
    </cfRule>
  </conditionalFormatting>
  <pageMargins left="1.2" right="0.7" top="0.25" bottom="0.25" header="0.3" footer="0.3"/>
  <pageSetup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Q71"/>
  <sheetViews>
    <sheetView zoomScaleNormal="100" workbookViewId="0">
      <pane xSplit="2" ySplit="5" topLeftCell="C51" activePane="bottomRight" state="frozen"/>
      <selection pane="topRight" activeCell="C1" sqref="C1"/>
      <selection pane="bottomLeft" activeCell="A6" sqref="A6"/>
      <selection pane="bottomRight" activeCell="I73" sqref="I73"/>
    </sheetView>
  </sheetViews>
  <sheetFormatPr defaultRowHeight="12.75"/>
  <cols>
    <col min="1" max="1" width="5.7109375" style="161" customWidth="1"/>
    <col min="2" max="2" width="29" style="161" customWidth="1"/>
    <col min="3" max="4" width="10.42578125" style="161" bestFit="1" customWidth="1"/>
    <col min="5" max="5" width="8.7109375" style="161" bestFit="1" customWidth="1"/>
    <col min="6" max="6" width="9" style="161" bestFit="1" customWidth="1"/>
    <col min="7" max="7" width="7" style="161" customWidth="1"/>
    <col min="8" max="8" width="8.7109375" style="161" bestFit="1" customWidth="1"/>
    <col min="9" max="9" width="9.85546875" style="161" bestFit="1" customWidth="1"/>
    <col min="10" max="10" width="10.5703125" style="161" bestFit="1" customWidth="1"/>
    <col min="11" max="12" width="9.140625" style="161" bestFit="1" customWidth="1"/>
    <col min="13" max="13" width="10.140625" style="161" bestFit="1" customWidth="1"/>
    <col min="14" max="14" width="10.42578125" style="161" bestFit="1" customWidth="1"/>
    <col min="15" max="15" width="11.42578125" style="164" hidden="1" customWidth="1"/>
    <col min="16" max="16" width="0" style="161" hidden="1" customWidth="1"/>
    <col min="17" max="16384" width="9.140625" style="161"/>
  </cols>
  <sheetData>
    <row r="1" spans="1:17" ht="14.25" customHeight="1">
      <c r="A1" s="630" t="s">
        <v>763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  <c r="O1" s="630"/>
    </row>
    <row r="2" spans="1:17" ht="15.75">
      <c r="A2" s="635" t="s">
        <v>31</v>
      </c>
      <c r="B2" s="635"/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5"/>
    </row>
    <row r="3" spans="1:17" ht="14.25">
      <c r="A3" s="163"/>
      <c r="B3" s="162" t="s">
        <v>12</v>
      </c>
      <c r="C3" s="163"/>
      <c r="D3" s="163"/>
      <c r="E3" s="163"/>
      <c r="F3" s="163"/>
      <c r="G3" s="163"/>
      <c r="H3" s="163"/>
      <c r="K3" s="163"/>
      <c r="L3" s="649" t="s">
        <v>169</v>
      </c>
      <c r="M3" s="649"/>
    </row>
    <row r="4" spans="1:17" ht="15" customHeight="1">
      <c r="A4" s="641" t="s">
        <v>230</v>
      </c>
      <c r="B4" s="643" t="s">
        <v>3</v>
      </c>
      <c r="C4" s="646" t="s">
        <v>18</v>
      </c>
      <c r="D4" s="647"/>
      <c r="E4" s="646" t="s">
        <v>19</v>
      </c>
      <c r="F4" s="647"/>
      <c r="G4" s="646" t="s">
        <v>20</v>
      </c>
      <c r="H4" s="647"/>
      <c r="I4" s="646" t="s">
        <v>24</v>
      </c>
      <c r="J4" s="647"/>
      <c r="K4" s="648" t="s">
        <v>38</v>
      </c>
      <c r="L4" s="648"/>
      <c r="M4" s="648" t="s">
        <v>112</v>
      </c>
      <c r="N4" s="648"/>
      <c r="O4" s="645" t="s">
        <v>116</v>
      </c>
    </row>
    <row r="5" spans="1:17" ht="15" customHeight="1">
      <c r="A5" s="642"/>
      <c r="B5" s="644"/>
      <c r="C5" s="223" t="s">
        <v>30</v>
      </c>
      <c r="D5" s="223" t="s">
        <v>17</v>
      </c>
      <c r="E5" s="223" t="s">
        <v>30</v>
      </c>
      <c r="F5" s="223" t="s">
        <v>17</v>
      </c>
      <c r="G5" s="223" t="s">
        <v>30</v>
      </c>
      <c r="H5" s="223" t="s">
        <v>17</v>
      </c>
      <c r="I5" s="223" t="s">
        <v>30</v>
      </c>
      <c r="J5" s="223" t="s">
        <v>17</v>
      </c>
      <c r="K5" s="223" t="s">
        <v>30</v>
      </c>
      <c r="L5" s="223" t="s">
        <v>17</v>
      </c>
      <c r="M5" s="223" t="s">
        <v>30</v>
      </c>
      <c r="N5" s="223" t="s">
        <v>17</v>
      </c>
      <c r="O5" s="645"/>
    </row>
    <row r="6" spans="1:17" ht="15" customHeight="1">
      <c r="A6" s="157">
        <v>1</v>
      </c>
      <c r="B6" s="158" t="s">
        <v>55</v>
      </c>
      <c r="C6" s="190">
        <v>9693</v>
      </c>
      <c r="D6" s="190">
        <v>20075</v>
      </c>
      <c r="E6" s="190">
        <v>349</v>
      </c>
      <c r="F6" s="241">
        <v>801</v>
      </c>
      <c r="G6" s="190">
        <v>259</v>
      </c>
      <c r="H6" s="190">
        <v>622</v>
      </c>
      <c r="I6" s="190">
        <v>5059</v>
      </c>
      <c r="J6" s="241">
        <v>33226</v>
      </c>
      <c r="K6" s="190">
        <v>277</v>
      </c>
      <c r="L6" s="190">
        <v>75</v>
      </c>
      <c r="M6" s="190">
        <f>C6+E6+G6+I6+K6</f>
        <v>15637</v>
      </c>
      <c r="N6" s="190">
        <f>D6+F6+H6+J6+L6</f>
        <v>54799</v>
      </c>
      <c r="O6" s="235" t="e">
        <f>N6*100/P6</f>
        <v>#REF!</v>
      </c>
      <c r="P6" s="242" t="e">
        <f>'Pri Sec_outstanding_6'!#REF!</f>
        <v>#REF!</v>
      </c>
      <c r="Q6" s="242">
        <f>D6*100/OutstandingAgri_4!L6</f>
        <v>9.2400384790643511</v>
      </c>
    </row>
    <row r="7" spans="1:17" ht="15" customHeight="1">
      <c r="A7" s="157">
        <v>2</v>
      </c>
      <c r="B7" s="158" t="s">
        <v>56</v>
      </c>
      <c r="C7" s="119">
        <v>6</v>
      </c>
      <c r="D7" s="119">
        <v>2479.4499999999998</v>
      </c>
      <c r="E7" s="119">
        <v>35</v>
      </c>
      <c r="F7" s="119">
        <v>317.68</v>
      </c>
      <c r="G7" s="119">
        <v>8</v>
      </c>
      <c r="H7" s="119">
        <v>13.05</v>
      </c>
      <c r="I7" s="119">
        <v>220</v>
      </c>
      <c r="J7" s="119">
        <v>1956.67</v>
      </c>
      <c r="K7" s="119">
        <v>51</v>
      </c>
      <c r="L7" s="119">
        <v>81.150000000000006</v>
      </c>
      <c r="M7" s="190">
        <f t="shared" ref="M7:M61" si="0">C7+E7+G7+I7+K7</f>
        <v>320</v>
      </c>
      <c r="N7" s="190">
        <f t="shared" ref="N7:N61" si="1">D7+F7+H7+J7+L7</f>
        <v>4848</v>
      </c>
      <c r="O7" s="235" t="e">
        <f>N7*100/P7</f>
        <v>#REF!</v>
      </c>
      <c r="P7" s="242" t="e">
        <f>'Pri Sec_outstanding_6'!#REF!</f>
        <v>#REF!</v>
      </c>
      <c r="Q7" s="242">
        <f>D7*100/OutstandingAgri_4!L7</f>
        <v>33.20356963984883</v>
      </c>
    </row>
    <row r="8" spans="1:17" ht="15" customHeight="1">
      <c r="A8" s="172">
        <v>3</v>
      </c>
      <c r="B8" s="148" t="s">
        <v>57</v>
      </c>
      <c r="C8" s="119">
        <v>6785</v>
      </c>
      <c r="D8" s="119">
        <v>12510</v>
      </c>
      <c r="E8" s="119">
        <v>3144</v>
      </c>
      <c r="F8" s="119">
        <v>3766</v>
      </c>
      <c r="G8" s="119">
        <v>436</v>
      </c>
      <c r="H8" s="119">
        <v>807</v>
      </c>
      <c r="I8" s="119">
        <v>3775</v>
      </c>
      <c r="J8" s="119">
        <v>40253</v>
      </c>
      <c r="K8" s="119">
        <v>170</v>
      </c>
      <c r="L8" s="119">
        <v>134</v>
      </c>
      <c r="M8" s="190">
        <f t="shared" si="0"/>
        <v>14310</v>
      </c>
      <c r="N8" s="190">
        <f t="shared" si="1"/>
        <v>57470</v>
      </c>
      <c r="O8" s="235" t="e">
        <f t="shared" ref="O8:O59" si="2">N8*100/P8</f>
        <v>#REF!</v>
      </c>
      <c r="P8" s="242" t="e">
        <f>'Pri Sec_outstanding_6'!#REF!</f>
        <v>#REF!</v>
      </c>
      <c r="Q8" s="242">
        <f>D8*100/OutstandingAgri_4!L8</f>
        <v>5.6670993624626478</v>
      </c>
    </row>
    <row r="9" spans="1:17" ht="15" customHeight="1">
      <c r="A9" s="157">
        <v>4</v>
      </c>
      <c r="B9" s="158" t="s">
        <v>58</v>
      </c>
      <c r="C9" s="119">
        <v>18906</v>
      </c>
      <c r="D9" s="119">
        <v>31578</v>
      </c>
      <c r="E9" s="119">
        <v>1719</v>
      </c>
      <c r="F9" s="119">
        <v>988</v>
      </c>
      <c r="G9" s="119">
        <v>2897</v>
      </c>
      <c r="H9" s="119">
        <v>1874</v>
      </c>
      <c r="I9" s="119">
        <v>16275</v>
      </c>
      <c r="J9" s="119">
        <v>23201</v>
      </c>
      <c r="K9" s="119">
        <v>7519</v>
      </c>
      <c r="L9" s="119">
        <v>4594</v>
      </c>
      <c r="M9" s="190">
        <f t="shared" si="0"/>
        <v>47316</v>
      </c>
      <c r="N9" s="190">
        <f t="shared" si="1"/>
        <v>62235</v>
      </c>
      <c r="O9" s="235" t="e">
        <f t="shared" si="2"/>
        <v>#REF!</v>
      </c>
      <c r="P9" s="242" t="e">
        <f>'Pri Sec_outstanding_6'!#REF!</f>
        <v>#REF!</v>
      </c>
      <c r="Q9" s="242">
        <f>D9*100/OutstandingAgri_4!L9</f>
        <v>3.5700073258748088</v>
      </c>
    </row>
    <row r="10" spans="1:17" ht="15" customHeight="1">
      <c r="A10" s="157">
        <v>5</v>
      </c>
      <c r="B10" s="158" t="s">
        <v>59</v>
      </c>
      <c r="C10" s="119">
        <v>9842</v>
      </c>
      <c r="D10" s="119">
        <v>13970</v>
      </c>
      <c r="E10" s="119">
        <v>2052</v>
      </c>
      <c r="F10" s="119">
        <v>2370</v>
      </c>
      <c r="G10" s="119">
        <v>176</v>
      </c>
      <c r="H10" s="119">
        <v>331</v>
      </c>
      <c r="I10" s="119">
        <v>5618</v>
      </c>
      <c r="J10" s="119">
        <v>20512</v>
      </c>
      <c r="K10" s="119">
        <v>724</v>
      </c>
      <c r="L10" s="119">
        <v>3529.68</v>
      </c>
      <c r="M10" s="190">
        <f t="shared" si="0"/>
        <v>18412</v>
      </c>
      <c r="N10" s="190">
        <f t="shared" si="1"/>
        <v>40712.68</v>
      </c>
      <c r="O10" s="235" t="e">
        <f t="shared" si="2"/>
        <v>#REF!</v>
      </c>
      <c r="P10" s="242" t="e">
        <f>'Pri Sec_outstanding_6'!#REF!</f>
        <v>#REF!</v>
      </c>
      <c r="Q10" s="242">
        <f>D10*100/OutstandingAgri_4!L10</f>
        <v>13.65443241251438</v>
      </c>
    </row>
    <row r="11" spans="1:17" ht="15" customHeight="1">
      <c r="A11" s="157">
        <v>6</v>
      </c>
      <c r="B11" s="239" t="s">
        <v>241</v>
      </c>
      <c r="C11" s="119">
        <v>0</v>
      </c>
      <c r="D11" s="119">
        <v>0</v>
      </c>
      <c r="E11" s="119">
        <v>4</v>
      </c>
      <c r="F11" s="119">
        <v>7</v>
      </c>
      <c r="G11" s="119">
        <v>0</v>
      </c>
      <c r="H11" s="119">
        <v>0</v>
      </c>
      <c r="I11" s="119">
        <v>0</v>
      </c>
      <c r="J11" s="119">
        <v>0</v>
      </c>
      <c r="K11" s="119">
        <v>0</v>
      </c>
      <c r="L11" s="119">
        <v>0</v>
      </c>
      <c r="M11" s="190">
        <f t="shared" si="0"/>
        <v>4</v>
      </c>
      <c r="N11" s="190">
        <f t="shared" si="1"/>
        <v>7</v>
      </c>
      <c r="O11" s="235" t="e">
        <f t="shared" si="2"/>
        <v>#REF!</v>
      </c>
      <c r="P11" s="242" t="e">
        <f>'Pri Sec_outstanding_6'!#REF!</f>
        <v>#REF!</v>
      </c>
      <c r="Q11" s="242" t="e">
        <f>D11*100/OutstandingAgri_4!L11</f>
        <v>#DIV/0!</v>
      </c>
    </row>
    <row r="12" spans="1:17" ht="15" customHeight="1">
      <c r="A12" s="157">
        <v>7</v>
      </c>
      <c r="B12" s="158" t="s">
        <v>60</v>
      </c>
      <c r="C12" s="119">
        <v>2719</v>
      </c>
      <c r="D12" s="119">
        <v>10064</v>
      </c>
      <c r="E12" s="119">
        <v>200</v>
      </c>
      <c r="F12" s="119">
        <v>1502</v>
      </c>
      <c r="G12" s="119">
        <v>179</v>
      </c>
      <c r="H12" s="119">
        <v>436</v>
      </c>
      <c r="I12" s="119">
        <v>2517</v>
      </c>
      <c r="J12" s="119">
        <v>17839</v>
      </c>
      <c r="K12" s="119">
        <v>205</v>
      </c>
      <c r="L12" s="119">
        <v>93</v>
      </c>
      <c r="M12" s="190">
        <f t="shared" si="0"/>
        <v>5820</v>
      </c>
      <c r="N12" s="190">
        <f t="shared" si="1"/>
        <v>29934</v>
      </c>
      <c r="O12" s="235" t="e">
        <f t="shared" si="2"/>
        <v>#REF!</v>
      </c>
      <c r="P12" s="242" t="e">
        <f>'Pri Sec_outstanding_6'!#REF!</f>
        <v>#REF!</v>
      </c>
      <c r="Q12" s="242">
        <f>D12*100/OutstandingAgri_4!L12</f>
        <v>8.1283523698904308</v>
      </c>
    </row>
    <row r="13" spans="1:17" ht="15" customHeight="1">
      <c r="A13" s="157">
        <v>8</v>
      </c>
      <c r="B13" s="158" t="s">
        <v>61</v>
      </c>
      <c r="C13" s="119">
        <v>20144</v>
      </c>
      <c r="D13" s="119">
        <v>32313</v>
      </c>
      <c r="E13" s="119">
        <v>8510</v>
      </c>
      <c r="F13" s="119">
        <v>7838</v>
      </c>
      <c r="G13" s="119">
        <v>1065</v>
      </c>
      <c r="H13" s="119">
        <v>1761</v>
      </c>
      <c r="I13" s="119">
        <v>31248</v>
      </c>
      <c r="J13" s="119">
        <v>27968</v>
      </c>
      <c r="K13" s="119">
        <v>1008</v>
      </c>
      <c r="L13" s="119">
        <v>176</v>
      </c>
      <c r="M13" s="190">
        <f t="shared" si="0"/>
        <v>61975</v>
      </c>
      <c r="N13" s="190">
        <f t="shared" si="1"/>
        <v>70056</v>
      </c>
      <c r="O13" s="235" t="e">
        <f t="shared" si="2"/>
        <v>#REF!</v>
      </c>
      <c r="P13" s="242" t="e">
        <f>'Pri Sec_outstanding_6'!#REF!</f>
        <v>#REF!</v>
      </c>
      <c r="Q13" s="242">
        <f>D13*100/OutstandingAgri_4!L13</f>
        <v>6.1241547138915005</v>
      </c>
    </row>
    <row r="14" spans="1:17" ht="15" customHeight="1">
      <c r="A14" s="157">
        <v>9</v>
      </c>
      <c r="B14" s="158" t="s">
        <v>48</v>
      </c>
      <c r="C14" s="119">
        <v>810</v>
      </c>
      <c r="D14" s="119">
        <v>2360.0300000000002</v>
      </c>
      <c r="E14" s="119">
        <v>13</v>
      </c>
      <c r="F14" s="119">
        <v>82</v>
      </c>
      <c r="G14" s="119">
        <v>14</v>
      </c>
      <c r="H14" s="119">
        <v>56.33</v>
      </c>
      <c r="I14" s="119">
        <v>247</v>
      </c>
      <c r="J14" s="119">
        <v>1186</v>
      </c>
      <c r="K14" s="119">
        <v>55</v>
      </c>
      <c r="L14" s="119">
        <v>2537.64</v>
      </c>
      <c r="M14" s="190">
        <f t="shared" si="0"/>
        <v>1139</v>
      </c>
      <c r="N14" s="190">
        <f t="shared" si="1"/>
        <v>6222</v>
      </c>
      <c r="O14" s="235" t="e">
        <f t="shared" si="2"/>
        <v>#REF!</v>
      </c>
      <c r="P14" s="242" t="e">
        <f>'Pri Sec_outstanding_6'!#REF!</f>
        <v>#REF!</v>
      </c>
      <c r="Q14" s="242">
        <f>D14*100/OutstandingAgri_4!L14</f>
        <v>5.7081388317813531</v>
      </c>
    </row>
    <row r="15" spans="1:17" ht="15" customHeight="1">
      <c r="A15" s="157">
        <v>10</v>
      </c>
      <c r="B15" s="158" t="s">
        <v>49</v>
      </c>
      <c r="C15" s="119">
        <v>2563</v>
      </c>
      <c r="D15" s="119">
        <v>3938</v>
      </c>
      <c r="E15" s="119">
        <v>158</v>
      </c>
      <c r="F15" s="119">
        <v>435</v>
      </c>
      <c r="G15" s="119">
        <v>130</v>
      </c>
      <c r="H15" s="119">
        <v>199</v>
      </c>
      <c r="I15" s="119">
        <v>4245</v>
      </c>
      <c r="J15" s="119">
        <v>5093</v>
      </c>
      <c r="K15" s="119">
        <v>561</v>
      </c>
      <c r="L15" s="119">
        <v>333</v>
      </c>
      <c r="M15" s="190">
        <f t="shared" si="0"/>
        <v>7657</v>
      </c>
      <c r="N15" s="190">
        <f t="shared" si="1"/>
        <v>9998</v>
      </c>
      <c r="O15" s="235" t="e">
        <f t="shared" si="2"/>
        <v>#REF!</v>
      </c>
      <c r="P15" s="242" t="e">
        <f>'Pri Sec_outstanding_6'!#REF!</f>
        <v>#REF!</v>
      </c>
      <c r="Q15" s="242">
        <f>D15*100/OutstandingAgri_4!L15</f>
        <v>17.198759662837926</v>
      </c>
    </row>
    <row r="16" spans="1:17" ht="15" customHeight="1">
      <c r="A16" s="157">
        <v>11</v>
      </c>
      <c r="B16" s="158" t="s">
        <v>81</v>
      </c>
      <c r="C16" s="119">
        <v>3855</v>
      </c>
      <c r="D16" s="119">
        <v>1564</v>
      </c>
      <c r="E16" s="119">
        <v>47</v>
      </c>
      <c r="F16" s="119">
        <v>473</v>
      </c>
      <c r="G16" s="119">
        <v>4</v>
      </c>
      <c r="H16" s="119">
        <v>10</v>
      </c>
      <c r="I16" s="119">
        <v>3824</v>
      </c>
      <c r="J16" s="119">
        <v>6161</v>
      </c>
      <c r="K16" s="119">
        <v>0</v>
      </c>
      <c r="L16" s="119">
        <v>0</v>
      </c>
      <c r="M16" s="190">
        <f t="shared" si="0"/>
        <v>7730</v>
      </c>
      <c r="N16" s="190">
        <f t="shared" si="1"/>
        <v>8208</v>
      </c>
      <c r="O16" s="235" t="e">
        <f t="shared" si="2"/>
        <v>#REF!</v>
      </c>
      <c r="P16" s="242" t="e">
        <f>'Pri Sec_outstanding_6'!#REF!</f>
        <v>#REF!</v>
      </c>
      <c r="Q16" s="242">
        <f>D16*100/OutstandingAgri_4!L16</f>
        <v>2.5505544683626877</v>
      </c>
    </row>
    <row r="17" spans="1:17" ht="15" customHeight="1">
      <c r="A17" s="157">
        <v>12</v>
      </c>
      <c r="B17" s="158" t="s">
        <v>62</v>
      </c>
      <c r="C17" s="119">
        <v>230</v>
      </c>
      <c r="D17" s="119">
        <v>346.22</v>
      </c>
      <c r="E17" s="119">
        <v>9</v>
      </c>
      <c r="F17" s="119">
        <v>55.04</v>
      </c>
      <c r="G17" s="119">
        <v>12</v>
      </c>
      <c r="H17" s="119">
        <v>18.61</v>
      </c>
      <c r="I17" s="119">
        <v>248</v>
      </c>
      <c r="J17" s="119">
        <v>385.9</v>
      </c>
      <c r="K17" s="119">
        <v>19</v>
      </c>
      <c r="L17" s="119">
        <v>8711</v>
      </c>
      <c r="M17" s="190">
        <f t="shared" si="0"/>
        <v>518</v>
      </c>
      <c r="N17" s="190">
        <f t="shared" si="1"/>
        <v>9516.77</v>
      </c>
      <c r="O17" s="235" t="e">
        <f t="shared" si="2"/>
        <v>#REF!</v>
      </c>
      <c r="P17" s="242" t="e">
        <f>'Pri Sec_outstanding_6'!#REF!</f>
        <v>#REF!</v>
      </c>
      <c r="Q17" s="242">
        <f>D17*100/OutstandingAgri_4!L17</f>
        <v>10.344188825814163</v>
      </c>
    </row>
    <row r="18" spans="1:17" ht="15" customHeight="1">
      <c r="A18" s="157">
        <v>13</v>
      </c>
      <c r="B18" s="158" t="s">
        <v>63</v>
      </c>
      <c r="C18" s="119">
        <v>53</v>
      </c>
      <c r="D18" s="119">
        <v>135.97</v>
      </c>
      <c r="E18" s="119">
        <v>86</v>
      </c>
      <c r="F18" s="119">
        <v>412.2</v>
      </c>
      <c r="G18" s="119">
        <v>7</v>
      </c>
      <c r="H18" s="119">
        <v>15.43</v>
      </c>
      <c r="I18" s="119">
        <v>488</v>
      </c>
      <c r="J18" s="119">
        <v>732.58</v>
      </c>
      <c r="K18" s="119">
        <v>0</v>
      </c>
      <c r="L18" s="119">
        <v>0</v>
      </c>
      <c r="M18" s="190">
        <f t="shared" si="0"/>
        <v>634</v>
      </c>
      <c r="N18" s="190">
        <f t="shared" si="1"/>
        <v>1296.1799999999998</v>
      </c>
      <c r="O18" s="235" t="e">
        <f t="shared" si="2"/>
        <v>#REF!</v>
      </c>
      <c r="P18" s="242" t="e">
        <f>'Pri Sec_outstanding_6'!#REF!</f>
        <v>#REF!</v>
      </c>
      <c r="Q18" s="242">
        <f>D18*100/OutstandingAgri_4!L18</f>
        <v>1.5691863819965377</v>
      </c>
    </row>
    <row r="19" spans="1:17" ht="15" customHeight="1">
      <c r="A19" s="157">
        <v>14</v>
      </c>
      <c r="B19" s="98" t="s">
        <v>206</v>
      </c>
      <c r="C19" s="119">
        <v>3425</v>
      </c>
      <c r="D19" s="119">
        <v>7943.71</v>
      </c>
      <c r="E19" s="119">
        <v>817</v>
      </c>
      <c r="F19" s="119">
        <v>838.2</v>
      </c>
      <c r="G19" s="119">
        <v>265</v>
      </c>
      <c r="H19" s="119">
        <v>407.15</v>
      </c>
      <c r="I19" s="119">
        <v>2079</v>
      </c>
      <c r="J19" s="119">
        <v>2467.65</v>
      </c>
      <c r="K19" s="119">
        <v>58</v>
      </c>
      <c r="L19" s="119">
        <v>51.01</v>
      </c>
      <c r="M19" s="190">
        <f t="shared" si="0"/>
        <v>6644</v>
      </c>
      <c r="N19" s="190">
        <f t="shared" si="1"/>
        <v>11707.72</v>
      </c>
      <c r="O19" s="235" t="e">
        <f t="shared" si="2"/>
        <v>#REF!</v>
      </c>
      <c r="P19" s="242" t="e">
        <f>'Pri Sec_outstanding_6'!#REF!</f>
        <v>#REF!</v>
      </c>
      <c r="Q19" s="242">
        <f>D19*100/OutstandingAgri_4!L19</f>
        <v>24.408425884814697</v>
      </c>
    </row>
    <row r="20" spans="1:17" ht="15" customHeight="1">
      <c r="A20" s="157">
        <v>15</v>
      </c>
      <c r="B20" s="158" t="s">
        <v>207</v>
      </c>
      <c r="C20" s="119">
        <v>1432</v>
      </c>
      <c r="D20" s="119">
        <v>2375.29</v>
      </c>
      <c r="E20" s="119">
        <v>63</v>
      </c>
      <c r="F20" s="119">
        <v>125.44</v>
      </c>
      <c r="G20" s="119">
        <v>43</v>
      </c>
      <c r="H20" s="119">
        <v>59.59</v>
      </c>
      <c r="I20" s="119">
        <v>3055</v>
      </c>
      <c r="J20" s="119">
        <v>1320.83</v>
      </c>
      <c r="K20" s="119">
        <v>19</v>
      </c>
      <c r="L20" s="119">
        <v>14.58</v>
      </c>
      <c r="M20" s="190">
        <f t="shared" si="0"/>
        <v>4612</v>
      </c>
      <c r="N20" s="190">
        <f t="shared" si="1"/>
        <v>3895.73</v>
      </c>
      <c r="O20" s="235" t="e">
        <f t="shared" si="2"/>
        <v>#REF!</v>
      </c>
      <c r="P20" s="242" t="e">
        <f>'Pri Sec_outstanding_6'!#REF!</f>
        <v>#REF!</v>
      </c>
      <c r="Q20" s="242">
        <f>D20*100/OutstandingAgri_4!L20</f>
        <v>21.191938946117489</v>
      </c>
    </row>
    <row r="21" spans="1:17" ht="15" customHeight="1">
      <c r="A21" s="157">
        <v>16</v>
      </c>
      <c r="B21" s="158" t="s">
        <v>64</v>
      </c>
      <c r="C21" s="119">
        <v>5920</v>
      </c>
      <c r="D21" s="119">
        <v>10666</v>
      </c>
      <c r="E21" s="119">
        <v>571</v>
      </c>
      <c r="F21" s="119">
        <v>2167</v>
      </c>
      <c r="G21" s="119">
        <v>188</v>
      </c>
      <c r="H21" s="119">
        <v>426</v>
      </c>
      <c r="I21" s="119">
        <v>2895</v>
      </c>
      <c r="J21" s="119">
        <v>56947</v>
      </c>
      <c r="K21" s="119">
        <v>402</v>
      </c>
      <c r="L21" s="119">
        <v>101</v>
      </c>
      <c r="M21" s="190">
        <f t="shared" si="0"/>
        <v>9976</v>
      </c>
      <c r="N21" s="190">
        <f t="shared" si="1"/>
        <v>70307</v>
      </c>
      <c r="O21" s="235" t="e">
        <f t="shared" si="2"/>
        <v>#REF!</v>
      </c>
      <c r="P21" s="242" t="e">
        <f>'Pri Sec_outstanding_6'!#REF!</f>
        <v>#REF!</v>
      </c>
      <c r="Q21" s="242">
        <f>D21*100/OutstandingAgri_4!L21</f>
        <v>2.9478827811695902</v>
      </c>
    </row>
    <row r="22" spans="1:17" ht="15" customHeight="1">
      <c r="A22" s="157">
        <v>17</v>
      </c>
      <c r="B22" s="98" t="s">
        <v>69</v>
      </c>
      <c r="C22" s="119">
        <v>0</v>
      </c>
      <c r="D22" s="119">
        <v>0</v>
      </c>
      <c r="E22" s="119">
        <v>0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v>0</v>
      </c>
      <c r="L22" s="119">
        <v>0</v>
      </c>
      <c r="M22" s="190">
        <f t="shared" si="0"/>
        <v>0</v>
      </c>
      <c r="N22" s="190">
        <f t="shared" si="1"/>
        <v>0</v>
      </c>
      <c r="O22" s="235" t="e">
        <f t="shared" si="2"/>
        <v>#REF!</v>
      </c>
      <c r="P22" s="242" t="e">
        <f>'Pri Sec_outstanding_6'!#REF!</f>
        <v>#REF!</v>
      </c>
      <c r="Q22" s="242" t="e">
        <f>D22*100/OutstandingAgri_4!L22</f>
        <v>#DIV/0!</v>
      </c>
    </row>
    <row r="23" spans="1:17" ht="15" customHeight="1">
      <c r="A23" s="157">
        <v>18</v>
      </c>
      <c r="B23" s="98" t="s">
        <v>208</v>
      </c>
      <c r="C23" s="119">
        <v>0</v>
      </c>
      <c r="D23" s="119">
        <v>0</v>
      </c>
      <c r="E23" s="119">
        <v>41</v>
      </c>
      <c r="F23" s="119">
        <v>341.8</v>
      </c>
      <c r="G23" s="119">
        <v>0</v>
      </c>
      <c r="H23" s="119">
        <v>0</v>
      </c>
      <c r="I23" s="119">
        <v>1</v>
      </c>
      <c r="J23" s="119">
        <v>0.5</v>
      </c>
      <c r="K23" s="119">
        <v>0</v>
      </c>
      <c r="L23" s="119">
        <v>0</v>
      </c>
      <c r="M23" s="190">
        <f t="shared" si="0"/>
        <v>42</v>
      </c>
      <c r="N23" s="190">
        <f t="shared" si="1"/>
        <v>342.3</v>
      </c>
      <c r="O23" s="235" t="e">
        <f t="shared" si="2"/>
        <v>#REF!</v>
      </c>
      <c r="P23" s="242" t="e">
        <f>'Pri Sec_outstanding_6'!#REF!</f>
        <v>#REF!</v>
      </c>
      <c r="Q23" s="242" t="e">
        <f>D23*100/OutstandingAgri_4!L23</f>
        <v>#DIV/0!</v>
      </c>
    </row>
    <row r="24" spans="1:17" ht="15" customHeight="1">
      <c r="A24" s="157">
        <v>19</v>
      </c>
      <c r="B24" s="119" t="s">
        <v>209</v>
      </c>
      <c r="C24" s="119">
        <v>0</v>
      </c>
      <c r="D24" s="119">
        <v>0</v>
      </c>
      <c r="E24" s="119">
        <v>0</v>
      </c>
      <c r="F24" s="119">
        <v>0</v>
      </c>
      <c r="G24" s="119">
        <v>0</v>
      </c>
      <c r="H24" s="119">
        <v>0</v>
      </c>
      <c r="I24" s="119">
        <v>70</v>
      </c>
      <c r="J24" s="119">
        <v>600</v>
      </c>
      <c r="K24" s="119">
        <v>30</v>
      </c>
      <c r="L24" s="119">
        <v>100</v>
      </c>
      <c r="M24" s="190">
        <f t="shared" si="0"/>
        <v>100</v>
      </c>
      <c r="N24" s="190">
        <f t="shared" si="1"/>
        <v>700</v>
      </c>
      <c r="O24" s="235" t="e">
        <f t="shared" si="2"/>
        <v>#REF!</v>
      </c>
      <c r="P24" s="242" t="e">
        <f>'Pri Sec_outstanding_6'!#REF!</f>
        <v>#REF!</v>
      </c>
      <c r="Q24" s="242">
        <f>D24*100/OutstandingAgri_4!L24</f>
        <v>0</v>
      </c>
    </row>
    <row r="25" spans="1:17" ht="15" customHeight="1">
      <c r="A25" s="157">
        <v>20</v>
      </c>
      <c r="B25" s="158" t="s">
        <v>210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18</v>
      </c>
      <c r="L25" s="119">
        <v>2661</v>
      </c>
      <c r="M25" s="190">
        <f t="shared" si="0"/>
        <v>18</v>
      </c>
      <c r="N25" s="190">
        <f t="shared" si="1"/>
        <v>2661</v>
      </c>
      <c r="O25" s="235" t="e">
        <f t="shared" si="2"/>
        <v>#REF!</v>
      </c>
      <c r="P25" s="242" t="e">
        <f>'Pri Sec_outstanding_6'!#REF!</f>
        <v>#REF!</v>
      </c>
      <c r="Q25" s="242" t="e">
        <f>D25*100/OutstandingAgri_4!L25</f>
        <v>#DIV/0!</v>
      </c>
    </row>
    <row r="26" spans="1:17" ht="15" customHeight="1">
      <c r="A26" s="157">
        <v>21</v>
      </c>
      <c r="B26" s="158" t="s">
        <v>211</v>
      </c>
      <c r="C26" s="119">
        <v>22</v>
      </c>
      <c r="D26" s="119">
        <v>14</v>
      </c>
      <c r="E26" s="119">
        <v>20</v>
      </c>
      <c r="F26" s="119">
        <v>160</v>
      </c>
      <c r="G26" s="119">
        <v>7</v>
      </c>
      <c r="H26" s="119">
        <v>11.7</v>
      </c>
      <c r="I26" s="119">
        <v>247</v>
      </c>
      <c r="J26" s="119">
        <v>441</v>
      </c>
      <c r="K26" s="119">
        <v>0</v>
      </c>
      <c r="L26" s="119">
        <v>0</v>
      </c>
      <c r="M26" s="190">
        <f t="shared" si="0"/>
        <v>296</v>
      </c>
      <c r="N26" s="190">
        <f t="shared" si="1"/>
        <v>626.70000000000005</v>
      </c>
      <c r="O26" s="235" t="e">
        <f t="shared" si="2"/>
        <v>#REF!</v>
      </c>
      <c r="P26" s="242" t="e">
        <f>'Pri Sec_outstanding_6'!#REF!</f>
        <v>#REF!</v>
      </c>
      <c r="Q26" s="242">
        <f>D26*100/OutstandingAgri_4!L26</f>
        <v>3.7037037037037037</v>
      </c>
    </row>
    <row r="27" spans="1:17" ht="15" customHeight="1">
      <c r="A27" s="172">
        <v>22</v>
      </c>
      <c r="B27" s="148" t="s">
        <v>70</v>
      </c>
      <c r="C27" s="119">
        <v>69564</v>
      </c>
      <c r="D27" s="119">
        <v>80632</v>
      </c>
      <c r="E27" s="119">
        <v>15375</v>
      </c>
      <c r="F27" s="119">
        <v>6460</v>
      </c>
      <c r="G27" s="119">
        <v>655</v>
      </c>
      <c r="H27" s="119">
        <v>1481</v>
      </c>
      <c r="I27" s="119">
        <v>21684</v>
      </c>
      <c r="J27" s="119">
        <v>12094</v>
      </c>
      <c r="K27" s="119">
        <v>0</v>
      </c>
      <c r="L27" s="119">
        <v>0</v>
      </c>
      <c r="M27" s="190">
        <f t="shared" si="0"/>
        <v>107278</v>
      </c>
      <c r="N27" s="190">
        <f t="shared" si="1"/>
        <v>100667</v>
      </c>
      <c r="O27" s="236" t="e">
        <f t="shared" si="2"/>
        <v>#REF!</v>
      </c>
      <c r="P27" s="242" t="e">
        <f>'Pri Sec_outstanding_6'!#REF!</f>
        <v>#REF!</v>
      </c>
      <c r="Q27" s="242">
        <f>D27*100/OutstandingAgri_4!L27</f>
        <v>6.6558036871395858</v>
      </c>
    </row>
    <row r="28" spans="1:17" ht="15" customHeight="1">
      <c r="A28" s="157">
        <v>23</v>
      </c>
      <c r="B28" s="158" t="s">
        <v>65</v>
      </c>
      <c r="C28" s="119">
        <v>3063</v>
      </c>
      <c r="D28" s="119">
        <v>3783</v>
      </c>
      <c r="E28" s="119">
        <v>1285</v>
      </c>
      <c r="F28" s="119">
        <v>1592</v>
      </c>
      <c r="G28" s="119">
        <v>139</v>
      </c>
      <c r="H28" s="119">
        <v>297</v>
      </c>
      <c r="I28" s="119">
        <v>5046</v>
      </c>
      <c r="J28" s="119">
        <v>9599</v>
      </c>
      <c r="K28" s="119">
        <v>136</v>
      </c>
      <c r="L28" s="119">
        <v>45</v>
      </c>
      <c r="M28" s="190">
        <f t="shared" si="0"/>
        <v>9669</v>
      </c>
      <c r="N28" s="190">
        <f t="shared" si="1"/>
        <v>15316</v>
      </c>
      <c r="O28" s="235" t="e">
        <f t="shared" si="2"/>
        <v>#REF!</v>
      </c>
      <c r="P28" s="242" t="e">
        <f>'Pri Sec_outstanding_6'!#REF!</f>
        <v>#REF!</v>
      </c>
      <c r="Q28" s="242">
        <f>D28*100/OutstandingAgri_4!L28</f>
        <v>24.544215921624602</v>
      </c>
    </row>
    <row r="29" spans="1:17" ht="15" customHeight="1">
      <c r="A29" s="157">
        <v>24</v>
      </c>
      <c r="B29" s="158" t="s">
        <v>212</v>
      </c>
      <c r="C29" s="119">
        <v>4822</v>
      </c>
      <c r="D29" s="119">
        <v>13575</v>
      </c>
      <c r="E29" s="119">
        <v>129</v>
      </c>
      <c r="F29" s="119">
        <v>1148</v>
      </c>
      <c r="G29" s="119">
        <v>371</v>
      </c>
      <c r="H29" s="119">
        <v>887</v>
      </c>
      <c r="I29" s="119">
        <v>902</v>
      </c>
      <c r="J29" s="119">
        <v>9639</v>
      </c>
      <c r="K29" s="119">
        <v>7049</v>
      </c>
      <c r="L29" s="119">
        <v>29083</v>
      </c>
      <c r="M29" s="190">
        <f t="shared" si="0"/>
        <v>13273</v>
      </c>
      <c r="N29" s="190">
        <f t="shared" si="1"/>
        <v>54332</v>
      </c>
      <c r="O29" s="235" t="e">
        <f t="shared" si="2"/>
        <v>#REF!</v>
      </c>
      <c r="P29" s="242" t="e">
        <f>'Pri Sec_outstanding_6'!#REF!</f>
        <v>#REF!</v>
      </c>
      <c r="Q29" s="242">
        <f>D29*100/OutstandingAgri_4!L29</f>
        <v>11.914374484368691</v>
      </c>
    </row>
    <row r="30" spans="1:17" ht="15" customHeight="1">
      <c r="A30" s="157">
        <v>25</v>
      </c>
      <c r="B30" s="158" t="s">
        <v>66</v>
      </c>
      <c r="C30" s="119">
        <v>17162</v>
      </c>
      <c r="D30" s="119">
        <v>23612</v>
      </c>
      <c r="E30" s="119">
        <v>2512</v>
      </c>
      <c r="F30" s="119">
        <v>2372</v>
      </c>
      <c r="G30" s="119">
        <v>519</v>
      </c>
      <c r="H30" s="119">
        <v>832</v>
      </c>
      <c r="I30" s="119">
        <v>21212</v>
      </c>
      <c r="J30" s="119">
        <v>15232</v>
      </c>
      <c r="K30" s="119">
        <v>3975</v>
      </c>
      <c r="L30" s="119">
        <v>1812</v>
      </c>
      <c r="M30" s="190">
        <f t="shared" si="0"/>
        <v>45380</v>
      </c>
      <c r="N30" s="190">
        <f t="shared" si="1"/>
        <v>43860</v>
      </c>
      <c r="O30" s="235" t="e">
        <f t="shared" si="2"/>
        <v>#REF!</v>
      </c>
      <c r="P30" s="242" t="e">
        <f>'Pri Sec_outstanding_6'!#REF!</f>
        <v>#REF!</v>
      </c>
      <c r="Q30" s="242">
        <f>D30*100/OutstandingAgri_4!L30</f>
        <v>7.0108761813706426</v>
      </c>
    </row>
    <row r="31" spans="1:17" ht="15" customHeight="1">
      <c r="A31" s="157">
        <v>26</v>
      </c>
      <c r="B31" s="239" t="s">
        <v>67</v>
      </c>
      <c r="C31" s="119">
        <v>56</v>
      </c>
      <c r="D31" s="119">
        <v>168.16</v>
      </c>
      <c r="E31" s="119">
        <v>9</v>
      </c>
      <c r="F31" s="119">
        <v>121</v>
      </c>
      <c r="G31" s="119">
        <v>16</v>
      </c>
      <c r="H31" s="119">
        <v>33</v>
      </c>
      <c r="I31" s="119">
        <v>107</v>
      </c>
      <c r="J31" s="119">
        <v>586</v>
      </c>
      <c r="K31" s="119">
        <v>0</v>
      </c>
      <c r="L31" s="119">
        <v>0</v>
      </c>
      <c r="M31" s="190">
        <f t="shared" si="0"/>
        <v>188</v>
      </c>
      <c r="N31" s="190">
        <f t="shared" si="1"/>
        <v>908.16</v>
      </c>
      <c r="O31" s="235" t="e">
        <f t="shared" si="2"/>
        <v>#REF!</v>
      </c>
      <c r="P31" s="242" t="e">
        <f>'Pri Sec_outstanding_6'!#REF!</f>
        <v>#REF!</v>
      </c>
      <c r="Q31" s="242">
        <f>D31*100/OutstandingAgri_4!L31</f>
        <v>16.567487684729063</v>
      </c>
    </row>
    <row r="32" spans="1:17" ht="15" customHeight="1">
      <c r="A32" s="157">
        <v>27</v>
      </c>
      <c r="B32" s="158" t="s">
        <v>50</v>
      </c>
      <c r="C32" s="119">
        <v>337</v>
      </c>
      <c r="D32" s="119">
        <v>624.17999999999995</v>
      </c>
      <c r="E32" s="119">
        <v>18</v>
      </c>
      <c r="F32" s="119">
        <v>117</v>
      </c>
      <c r="G32" s="119">
        <v>12</v>
      </c>
      <c r="H32" s="119">
        <v>22.41</v>
      </c>
      <c r="I32" s="119">
        <v>557</v>
      </c>
      <c r="J32" s="119">
        <v>748.78</v>
      </c>
      <c r="K32" s="119">
        <v>63</v>
      </c>
      <c r="L32" s="119">
        <v>8</v>
      </c>
      <c r="M32" s="190">
        <f t="shared" si="0"/>
        <v>987</v>
      </c>
      <c r="N32" s="190">
        <f t="shared" si="1"/>
        <v>1520.37</v>
      </c>
      <c r="O32" s="235" t="e">
        <f t="shared" si="2"/>
        <v>#REF!</v>
      </c>
      <c r="P32" s="242" t="e">
        <f>'Pri Sec_outstanding_6'!#REF!</f>
        <v>#REF!</v>
      </c>
      <c r="Q32" s="242">
        <f>D32*100/OutstandingAgri_4!L32</f>
        <v>3.7324642707648144</v>
      </c>
    </row>
    <row r="33" spans="1:17" s="245" customFormat="1" ht="15" customHeight="1">
      <c r="A33" s="159"/>
      <c r="B33" s="160" t="s">
        <v>286</v>
      </c>
      <c r="C33" s="165">
        <f>SUM(C6:C32)</f>
        <v>181409</v>
      </c>
      <c r="D33" s="165">
        <f t="shared" ref="D33:N33" si="3">SUM(D6:D32)</f>
        <v>274727.00999999995</v>
      </c>
      <c r="E33" s="165">
        <f t="shared" si="3"/>
        <v>37166</v>
      </c>
      <c r="F33" s="165">
        <f t="shared" si="3"/>
        <v>34489.360000000001</v>
      </c>
      <c r="G33" s="165">
        <f t="shared" si="3"/>
        <v>7402</v>
      </c>
      <c r="H33" s="165">
        <f t="shared" si="3"/>
        <v>10600.27</v>
      </c>
      <c r="I33" s="165">
        <f t="shared" si="3"/>
        <v>131619</v>
      </c>
      <c r="J33" s="165">
        <f t="shared" si="3"/>
        <v>288189.90999999997</v>
      </c>
      <c r="K33" s="165">
        <f t="shared" si="3"/>
        <v>22339</v>
      </c>
      <c r="L33" s="165">
        <f t="shared" si="3"/>
        <v>54140.06</v>
      </c>
      <c r="M33" s="165">
        <f t="shared" si="3"/>
        <v>379935</v>
      </c>
      <c r="N33" s="165">
        <f t="shared" si="3"/>
        <v>662146.61</v>
      </c>
      <c r="O33" s="236" t="e">
        <f t="shared" si="2"/>
        <v>#REF!</v>
      </c>
      <c r="P33" s="244" t="e">
        <f>'Pri Sec_outstanding_6'!#REF!</f>
        <v>#REF!</v>
      </c>
      <c r="Q33" s="242">
        <f>D33*100/OutstandingAgri_4!L33</f>
        <v>6.3543244035156796</v>
      </c>
    </row>
    <row r="34" spans="1:17" ht="15" customHeight="1">
      <c r="A34" s="157">
        <v>28</v>
      </c>
      <c r="B34" s="158" t="s">
        <v>47</v>
      </c>
      <c r="C34" s="119">
        <v>1650</v>
      </c>
      <c r="D34" s="119">
        <v>4244.51</v>
      </c>
      <c r="E34" s="119">
        <v>78</v>
      </c>
      <c r="F34" s="119">
        <v>918.86</v>
      </c>
      <c r="G34" s="119">
        <v>9</v>
      </c>
      <c r="H34" s="119">
        <v>23.78</v>
      </c>
      <c r="I34" s="119">
        <v>95</v>
      </c>
      <c r="J34" s="119">
        <v>3169.04</v>
      </c>
      <c r="K34" s="119">
        <v>802</v>
      </c>
      <c r="L34" s="119">
        <v>107.63</v>
      </c>
      <c r="M34" s="190">
        <f t="shared" si="0"/>
        <v>2634</v>
      </c>
      <c r="N34" s="190">
        <f t="shared" si="1"/>
        <v>8463.8199999999979</v>
      </c>
      <c r="O34" s="236" t="e">
        <f t="shared" si="2"/>
        <v>#REF!</v>
      </c>
      <c r="P34" s="242" t="e">
        <f>'Pri Sec_outstanding_6'!#REF!</f>
        <v>#REF!</v>
      </c>
      <c r="Q34" s="242">
        <f>D34*100/OutstandingAgri_4!L34</f>
        <v>4.2391263095868243</v>
      </c>
    </row>
    <row r="35" spans="1:17" ht="15" customHeight="1">
      <c r="A35" s="157">
        <v>29</v>
      </c>
      <c r="B35" s="158" t="s">
        <v>214</v>
      </c>
      <c r="C35" s="119">
        <v>0</v>
      </c>
      <c r="D35" s="119">
        <v>0</v>
      </c>
      <c r="E35" s="119">
        <v>0</v>
      </c>
      <c r="F35" s="119">
        <v>0</v>
      </c>
      <c r="G35" s="119">
        <v>0</v>
      </c>
      <c r="H35" s="119">
        <v>0</v>
      </c>
      <c r="I35" s="119">
        <v>0</v>
      </c>
      <c r="J35" s="119">
        <v>0</v>
      </c>
      <c r="K35" s="119">
        <v>0</v>
      </c>
      <c r="L35" s="119">
        <v>0</v>
      </c>
      <c r="M35" s="190">
        <f t="shared" si="0"/>
        <v>0</v>
      </c>
      <c r="N35" s="190">
        <f t="shared" si="1"/>
        <v>0</v>
      </c>
      <c r="O35" s="235" t="e">
        <f t="shared" si="2"/>
        <v>#REF!</v>
      </c>
      <c r="P35" s="242" t="e">
        <f>'Pri Sec_outstanding_6'!#REF!</f>
        <v>#REF!</v>
      </c>
      <c r="Q35" s="242">
        <f>D35*100/OutstandingAgri_4!L35</f>
        <v>0</v>
      </c>
    </row>
    <row r="36" spans="1:17" ht="15" customHeight="1">
      <c r="A36" s="157">
        <v>30</v>
      </c>
      <c r="B36" s="158" t="s">
        <v>215</v>
      </c>
      <c r="C36" s="119">
        <v>0</v>
      </c>
      <c r="D36" s="119">
        <v>0</v>
      </c>
      <c r="E36" s="119">
        <v>0</v>
      </c>
      <c r="F36" s="119">
        <v>0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90">
        <f t="shared" si="0"/>
        <v>0</v>
      </c>
      <c r="N36" s="190">
        <f t="shared" si="1"/>
        <v>0</v>
      </c>
      <c r="O36" s="235" t="e">
        <f t="shared" si="2"/>
        <v>#REF!</v>
      </c>
      <c r="P36" s="242" t="e">
        <f>'Pri Sec_outstanding_6'!#REF!</f>
        <v>#REF!</v>
      </c>
      <c r="Q36" s="242">
        <f>D36*100/OutstandingAgri_4!L36</f>
        <v>0</v>
      </c>
    </row>
    <row r="37" spans="1:17" ht="15" customHeight="1">
      <c r="A37" s="157">
        <v>31</v>
      </c>
      <c r="B37" s="158" t="s">
        <v>78</v>
      </c>
      <c r="C37" s="119">
        <v>0</v>
      </c>
      <c r="D37" s="119">
        <v>0</v>
      </c>
      <c r="E37" s="119">
        <v>0</v>
      </c>
      <c r="F37" s="119">
        <v>0</v>
      </c>
      <c r="G37" s="119">
        <v>0</v>
      </c>
      <c r="H37" s="119">
        <v>0</v>
      </c>
      <c r="I37" s="119">
        <v>0</v>
      </c>
      <c r="J37" s="119">
        <v>0</v>
      </c>
      <c r="K37" s="119">
        <v>0</v>
      </c>
      <c r="L37" s="119">
        <v>0</v>
      </c>
      <c r="M37" s="190">
        <f t="shared" si="0"/>
        <v>0</v>
      </c>
      <c r="N37" s="190">
        <f t="shared" si="1"/>
        <v>0</v>
      </c>
      <c r="O37" s="235" t="e">
        <f t="shared" si="2"/>
        <v>#REF!</v>
      </c>
      <c r="P37" s="242" t="e">
        <f>'Pri Sec_outstanding_6'!#REF!</f>
        <v>#REF!</v>
      </c>
      <c r="Q37" s="242" t="e">
        <f>D37*100/OutstandingAgri_4!L37</f>
        <v>#DIV/0!</v>
      </c>
    </row>
    <row r="38" spans="1:17" ht="15" customHeight="1">
      <c r="A38" s="157">
        <v>32</v>
      </c>
      <c r="B38" s="158" t="s">
        <v>51</v>
      </c>
      <c r="C38" s="119">
        <v>0</v>
      </c>
      <c r="D38" s="119">
        <v>0</v>
      </c>
      <c r="E38" s="119">
        <v>0</v>
      </c>
      <c r="F38" s="119">
        <v>0</v>
      </c>
      <c r="G38" s="119">
        <v>0</v>
      </c>
      <c r="H38" s="119">
        <v>0</v>
      </c>
      <c r="I38" s="119">
        <v>5</v>
      </c>
      <c r="J38" s="119">
        <v>155.02000000000001</v>
      </c>
      <c r="K38" s="119">
        <v>0</v>
      </c>
      <c r="L38" s="119">
        <v>0</v>
      </c>
      <c r="M38" s="190">
        <f t="shared" si="0"/>
        <v>5</v>
      </c>
      <c r="N38" s="190">
        <f t="shared" si="1"/>
        <v>155.02000000000001</v>
      </c>
      <c r="O38" s="235" t="e">
        <f t="shared" si="2"/>
        <v>#REF!</v>
      </c>
      <c r="P38" s="242" t="e">
        <f>'Pri Sec_outstanding_6'!#REF!</f>
        <v>#REF!</v>
      </c>
      <c r="Q38" s="242">
        <f>D38*100/OutstandingAgri_4!L38</f>
        <v>0</v>
      </c>
    </row>
    <row r="39" spans="1:17" ht="15" customHeight="1">
      <c r="A39" s="157">
        <v>33</v>
      </c>
      <c r="B39" s="158" t="s">
        <v>216</v>
      </c>
      <c r="C39" s="119">
        <v>374</v>
      </c>
      <c r="D39" s="119">
        <v>906.44</v>
      </c>
      <c r="E39" s="119">
        <v>18</v>
      </c>
      <c r="F39" s="119">
        <v>107.67</v>
      </c>
      <c r="G39" s="119">
        <v>0</v>
      </c>
      <c r="H39" s="119">
        <v>0</v>
      </c>
      <c r="I39" s="119">
        <v>21</v>
      </c>
      <c r="J39" s="119">
        <v>243.35</v>
      </c>
      <c r="K39" s="119">
        <v>0</v>
      </c>
      <c r="L39" s="119">
        <v>0</v>
      </c>
      <c r="M39" s="190">
        <f t="shared" si="0"/>
        <v>413</v>
      </c>
      <c r="N39" s="190">
        <f t="shared" si="1"/>
        <v>1257.46</v>
      </c>
      <c r="O39" s="235" t="e">
        <f t="shared" si="2"/>
        <v>#REF!</v>
      </c>
      <c r="P39" s="242" t="e">
        <f>'Pri Sec_outstanding_6'!#REF!</f>
        <v>#REF!</v>
      </c>
      <c r="Q39" s="242">
        <f>D39*100/OutstandingAgri_4!L39</f>
        <v>3.230248387441645</v>
      </c>
    </row>
    <row r="40" spans="1:17" ht="15" customHeight="1">
      <c r="A40" s="157">
        <v>34</v>
      </c>
      <c r="B40" s="158" t="s">
        <v>217</v>
      </c>
      <c r="C40" s="119">
        <v>0</v>
      </c>
      <c r="D40" s="119">
        <v>0</v>
      </c>
      <c r="E40" s="119">
        <v>0</v>
      </c>
      <c r="F40" s="119"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90">
        <f t="shared" si="0"/>
        <v>0</v>
      </c>
      <c r="N40" s="190">
        <f t="shared" si="1"/>
        <v>0</v>
      </c>
      <c r="O40" s="235" t="e">
        <f t="shared" si="2"/>
        <v>#REF!</v>
      </c>
      <c r="P40" s="242" t="e">
        <f>'Pri Sec_outstanding_6'!#REF!</f>
        <v>#REF!</v>
      </c>
      <c r="Q40" s="242" t="e">
        <f>D40*100/OutstandingAgri_4!L40</f>
        <v>#DIV/0!</v>
      </c>
    </row>
    <row r="41" spans="1:17" ht="15" customHeight="1">
      <c r="A41" s="157">
        <v>35</v>
      </c>
      <c r="B41" s="158" t="s">
        <v>218</v>
      </c>
      <c r="C41" s="119">
        <v>4</v>
      </c>
      <c r="D41" s="119">
        <v>1</v>
      </c>
      <c r="E41" s="119">
        <v>0</v>
      </c>
      <c r="F41" s="119">
        <v>0</v>
      </c>
      <c r="G41" s="119">
        <v>0</v>
      </c>
      <c r="H41" s="119">
        <v>0</v>
      </c>
      <c r="I41" s="119">
        <v>17</v>
      </c>
      <c r="J41" s="119">
        <v>46</v>
      </c>
      <c r="K41" s="119">
        <v>0</v>
      </c>
      <c r="L41" s="119">
        <v>0</v>
      </c>
      <c r="M41" s="190">
        <f t="shared" si="0"/>
        <v>21</v>
      </c>
      <c r="N41" s="190">
        <f t="shared" si="1"/>
        <v>47</v>
      </c>
      <c r="O41" s="235" t="e">
        <f t="shared" si="2"/>
        <v>#REF!</v>
      </c>
      <c r="P41" s="242" t="e">
        <f>'Pri Sec_outstanding_6'!#REF!</f>
        <v>#REF!</v>
      </c>
      <c r="Q41" s="242">
        <f>D41*100/OutstandingAgri_4!L41</f>
        <v>1.5740594994490792E-2</v>
      </c>
    </row>
    <row r="42" spans="1:17" ht="15" customHeight="1">
      <c r="A42" s="157">
        <v>36</v>
      </c>
      <c r="B42" s="158" t="s">
        <v>71</v>
      </c>
      <c r="C42" s="119">
        <v>5388</v>
      </c>
      <c r="D42" s="119">
        <v>9958</v>
      </c>
      <c r="E42" s="119">
        <v>9</v>
      </c>
      <c r="F42" s="119">
        <v>27</v>
      </c>
      <c r="G42" s="119">
        <v>27</v>
      </c>
      <c r="H42" s="119">
        <v>55</v>
      </c>
      <c r="I42" s="119">
        <v>4340</v>
      </c>
      <c r="J42" s="119">
        <v>5574</v>
      </c>
      <c r="K42" s="119">
        <v>39</v>
      </c>
      <c r="L42" s="119">
        <v>151</v>
      </c>
      <c r="M42" s="190">
        <f t="shared" si="0"/>
        <v>9803</v>
      </c>
      <c r="N42" s="190">
        <f t="shared" si="1"/>
        <v>15765</v>
      </c>
      <c r="O42" s="235" t="e">
        <f t="shared" si="2"/>
        <v>#REF!</v>
      </c>
      <c r="P42" s="242" t="e">
        <f>'Pri Sec_outstanding_6'!#REF!</f>
        <v>#REF!</v>
      </c>
      <c r="Q42" s="242">
        <f>D42*100/OutstandingAgri_4!L42</f>
        <v>2.7335589795957582</v>
      </c>
    </row>
    <row r="43" spans="1:17" ht="15" customHeight="1">
      <c r="A43" s="157">
        <v>37</v>
      </c>
      <c r="B43" s="158" t="s">
        <v>72</v>
      </c>
      <c r="C43" s="119">
        <v>4230</v>
      </c>
      <c r="D43" s="119">
        <v>7404</v>
      </c>
      <c r="E43" s="119">
        <v>278</v>
      </c>
      <c r="F43" s="119">
        <v>693</v>
      </c>
      <c r="G43" s="119">
        <v>3</v>
      </c>
      <c r="H43" s="119">
        <v>4</v>
      </c>
      <c r="I43" s="119">
        <v>1161</v>
      </c>
      <c r="J43" s="119">
        <v>2727</v>
      </c>
      <c r="K43" s="119">
        <v>394</v>
      </c>
      <c r="L43" s="119">
        <v>734</v>
      </c>
      <c r="M43" s="190">
        <f t="shared" si="0"/>
        <v>6066</v>
      </c>
      <c r="N43" s="190">
        <f t="shared" si="1"/>
        <v>11562</v>
      </c>
      <c r="O43" s="235" t="e">
        <f t="shared" si="2"/>
        <v>#REF!</v>
      </c>
      <c r="P43" s="242" t="e">
        <f>'Pri Sec_outstanding_6'!#REF!</f>
        <v>#REF!</v>
      </c>
      <c r="Q43" s="242">
        <f>D43*100/OutstandingAgri_4!L43</f>
        <v>2.4141877549423354</v>
      </c>
    </row>
    <row r="44" spans="1:17" ht="15" customHeight="1">
      <c r="A44" s="157">
        <v>38</v>
      </c>
      <c r="B44" s="158" t="s">
        <v>219</v>
      </c>
      <c r="C44" s="119">
        <v>1254</v>
      </c>
      <c r="D44" s="119">
        <v>96</v>
      </c>
      <c r="E44" s="119">
        <v>0</v>
      </c>
      <c r="F44" s="119">
        <v>0</v>
      </c>
      <c r="G44" s="119">
        <v>0</v>
      </c>
      <c r="H44" s="119">
        <v>0</v>
      </c>
      <c r="I44" s="119">
        <v>2384</v>
      </c>
      <c r="J44" s="119">
        <v>162</v>
      </c>
      <c r="K44" s="119">
        <v>0</v>
      </c>
      <c r="L44" s="119">
        <v>0</v>
      </c>
      <c r="M44" s="190">
        <f t="shared" si="0"/>
        <v>3638</v>
      </c>
      <c r="N44" s="190">
        <f t="shared" si="1"/>
        <v>258</v>
      </c>
      <c r="O44" s="235" t="e">
        <f t="shared" si="2"/>
        <v>#REF!</v>
      </c>
      <c r="P44" s="242" t="e">
        <f>'Pri Sec_outstanding_6'!#REF!</f>
        <v>#REF!</v>
      </c>
      <c r="Q44" s="242">
        <f>D44*100/OutstandingAgri_4!L44</f>
        <v>0.99678122728688612</v>
      </c>
    </row>
    <row r="45" spans="1:17" ht="15" customHeight="1">
      <c r="A45" s="157">
        <v>39</v>
      </c>
      <c r="B45" s="158" t="s">
        <v>220</v>
      </c>
      <c r="C45" s="119">
        <v>1147</v>
      </c>
      <c r="D45" s="119">
        <v>367.41</v>
      </c>
      <c r="E45" s="119">
        <v>0</v>
      </c>
      <c r="F45" s="119">
        <v>0</v>
      </c>
      <c r="G45" s="119">
        <v>0</v>
      </c>
      <c r="H45" s="119">
        <v>0</v>
      </c>
      <c r="I45" s="119">
        <v>1983</v>
      </c>
      <c r="J45" s="119">
        <v>978.78</v>
      </c>
      <c r="K45" s="119">
        <v>0</v>
      </c>
      <c r="L45" s="119">
        <v>0</v>
      </c>
      <c r="M45" s="190">
        <f t="shared" si="0"/>
        <v>3130</v>
      </c>
      <c r="N45" s="190">
        <f t="shared" si="1"/>
        <v>1346.19</v>
      </c>
      <c r="O45" s="235" t="e">
        <f t="shared" si="2"/>
        <v>#REF!</v>
      </c>
      <c r="P45" s="242" t="e">
        <f>'Pri Sec_outstanding_6'!#REF!</f>
        <v>#REF!</v>
      </c>
      <c r="Q45" s="242">
        <f>D45*100/OutstandingAgri_4!L45</f>
        <v>0.54342552876793371</v>
      </c>
    </row>
    <row r="46" spans="1:17" ht="15" customHeight="1">
      <c r="A46" s="157">
        <v>40</v>
      </c>
      <c r="B46" s="158" t="s">
        <v>221</v>
      </c>
      <c r="C46" s="119">
        <v>0</v>
      </c>
      <c r="D46" s="119">
        <v>0</v>
      </c>
      <c r="E46" s="119">
        <v>6</v>
      </c>
      <c r="F46" s="119">
        <v>9</v>
      </c>
      <c r="G46" s="119">
        <v>0</v>
      </c>
      <c r="H46" s="119">
        <v>0</v>
      </c>
      <c r="I46" s="119">
        <v>6</v>
      </c>
      <c r="J46" s="119">
        <v>253</v>
      </c>
      <c r="K46" s="119">
        <v>23</v>
      </c>
      <c r="L46" s="119">
        <v>55</v>
      </c>
      <c r="M46" s="190">
        <f t="shared" si="0"/>
        <v>35</v>
      </c>
      <c r="N46" s="190">
        <f t="shared" si="1"/>
        <v>317</v>
      </c>
      <c r="O46" s="235" t="e">
        <f t="shared" si="2"/>
        <v>#REF!</v>
      </c>
      <c r="P46" s="242" t="e">
        <f>'Pri Sec_outstanding_6'!#REF!</f>
        <v>#REF!</v>
      </c>
      <c r="Q46" s="242">
        <f>D46*100/OutstandingAgri_4!L46</f>
        <v>0</v>
      </c>
    </row>
    <row r="47" spans="1:17" ht="15" customHeight="1">
      <c r="A47" s="157">
        <v>41</v>
      </c>
      <c r="B47" s="158" t="s">
        <v>222</v>
      </c>
      <c r="C47" s="119">
        <v>7</v>
      </c>
      <c r="D47" s="119">
        <v>38</v>
      </c>
      <c r="E47" s="119">
        <v>2</v>
      </c>
      <c r="F47" s="119">
        <v>14</v>
      </c>
      <c r="G47" s="119">
        <v>0</v>
      </c>
      <c r="H47" s="119">
        <v>0</v>
      </c>
      <c r="I47" s="119">
        <v>17</v>
      </c>
      <c r="J47" s="119">
        <v>781</v>
      </c>
      <c r="K47" s="119">
        <v>0</v>
      </c>
      <c r="L47" s="119">
        <v>0</v>
      </c>
      <c r="M47" s="190">
        <f t="shared" si="0"/>
        <v>26</v>
      </c>
      <c r="N47" s="190">
        <f t="shared" si="1"/>
        <v>833</v>
      </c>
      <c r="O47" s="235" t="e">
        <f t="shared" si="2"/>
        <v>#REF!</v>
      </c>
      <c r="P47" s="242" t="e">
        <f>'Pri Sec_outstanding_6'!#REF!</f>
        <v>#REF!</v>
      </c>
      <c r="Q47" s="242">
        <f>D47*100/OutstandingAgri_4!L47</f>
        <v>0.60461704670030259</v>
      </c>
    </row>
    <row r="48" spans="1:17" ht="15" customHeight="1">
      <c r="A48" s="157">
        <v>42</v>
      </c>
      <c r="B48" s="158" t="s">
        <v>223</v>
      </c>
      <c r="C48" s="119">
        <v>0</v>
      </c>
      <c r="D48" s="119">
        <v>0</v>
      </c>
      <c r="E48" s="119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  <c r="K48" s="119">
        <v>0</v>
      </c>
      <c r="L48" s="119">
        <v>0</v>
      </c>
      <c r="M48" s="190">
        <f t="shared" si="0"/>
        <v>0</v>
      </c>
      <c r="N48" s="190">
        <f t="shared" si="1"/>
        <v>0</v>
      </c>
      <c r="O48" s="235" t="e">
        <f t="shared" si="2"/>
        <v>#REF!</v>
      </c>
      <c r="P48" s="242" t="e">
        <f>'Pri Sec_outstanding_6'!#REF!</f>
        <v>#REF!</v>
      </c>
      <c r="Q48" s="242" t="e">
        <f>D48*100/OutstandingAgri_4!L48</f>
        <v>#DIV/0!</v>
      </c>
    </row>
    <row r="49" spans="1:17" ht="15" customHeight="1">
      <c r="A49" s="157">
        <v>43</v>
      </c>
      <c r="B49" s="158" t="s">
        <v>73</v>
      </c>
      <c r="C49" s="119">
        <v>1226</v>
      </c>
      <c r="D49" s="119">
        <v>2773</v>
      </c>
      <c r="E49" s="119">
        <v>11</v>
      </c>
      <c r="F49" s="119">
        <v>16</v>
      </c>
      <c r="G49" s="119">
        <v>0</v>
      </c>
      <c r="H49" s="119">
        <v>0</v>
      </c>
      <c r="I49" s="119">
        <v>52</v>
      </c>
      <c r="J49" s="119">
        <v>1369</v>
      </c>
      <c r="K49" s="119">
        <v>0</v>
      </c>
      <c r="L49" s="119">
        <v>0</v>
      </c>
      <c r="M49" s="190">
        <f t="shared" si="0"/>
        <v>1289</v>
      </c>
      <c r="N49" s="190">
        <f t="shared" si="1"/>
        <v>4158</v>
      </c>
      <c r="O49" s="235" t="e">
        <f t="shared" si="2"/>
        <v>#REF!</v>
      </c>
      <c r="P49" s="242" t="e">
        <f>'Pri Sec_outstanding_6'!#REF!</f>
        <v>#REF!</v>
      </c>
      <c r="Q49" s="242">
        <f>D49*100/OutstandingAgri_4!L49</f>
        <v>3.1513154156486163</v>
      </c>
    </row>
    <row r="50" spans="1:17" ht="15" customHeight="1">
      <c r="A50" s="157">
        <v>44</v>
      </c>
      <c r="B50" s="158" t="s">
        <v>224</v>
      </c>
      <c r="C50" s="119">
        <v>0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3</v>
      </c>
      <c r="L50" s="119">
        <v>14.4</v>
      </c>
      <c r="M50" s="190">
        <f t="shared" si="0"/>
        <v>3</v>
      </c>
      <c r="N50" s="190">
        <f t="shared" si="1"/>
        <v>14.4</v>
      </c>
      <c r="O50" s="235" t="e">
        <f t="shared" si="2"/>
        <v>#REF!</v>
      </c>
      <c r="P50" s="242" t="e">
        <f>'Pri Sec_outstanding_6'!#REF!</f>
        <v>#REF!</v>
      </c>
      <c r="Q50" s="242" t="e">
        <f>D50*100/OutstandingAgri_4!L50</f>
        <v>#DIV/0!</v>
      </c>
    </row>
    <row r="51" spans="1:17" ht="15" customHeight="1">
      <c r="A51" s="157">
        <v>45</v>
      </c>
      <c r="B51" s="158" t="s">
        <v>225</v>
      </c>
      <c r="C51" s="119">
        <v>170</v>
      </c>
      <c r="D51" s="119">
        <v>226</v>
      </c>
      <c r="E51" s="119">
        <v>3</v>
      </c>
      <c r="F51" s="119">
        <v>0.1</v>
      </c>
      <c r="G51" s="119">
        <v>13</v>
      </c>
      <c r="H51" s="119">
        <v>0.5</v>
      </c>
      <c r="I51" s="119">
        <v>818</v>
      </c>
      <c r="J51" s="119">
        <v>943</v>
      </c>
      <c r="K51" s="119">
        <v>1117</v>
      </c>
      <c r="L51" s="119">
        <v>83</v>
      </c>
      <c r="M51" s="190">
        <f t="shared" si="0"/>
        <v>2121</v>
      </c>
      <c r="N51" s="190">
        <f t="shared" si="1"/>
        <v>1252.5999999999999</v>
      </c>
      <c r="O51" s="235" t="e">
        <f t="shared" si="2"/>
        <v>#REF!</v>
      </c>
      <c r="P51" s="242" t="e">
        <f>'Pri Sec_outstanding_6'!#REF!</f>
        <v>#REF!</v>
      </c>
      <c r="Q51" s="242">
        <f>D51*100/OutstandingAgri_4!L51</f>
        <v>0.9590087414071119</v>
      </c>
    </row>
    <row r="52" spans="1:17" ht="15" customHeight="1">
      <c r="A52" s="157">
        <v>46</v>
      </c>
      <c r="B52" s="158" t="s">
        <v>226</v>
      </c>
      <c r="C52" s="119">
        <v>0</v>
      </c>
      <c r="D52" s="119">
        <v>0</v>
      </c>
      <c r="E52" s="119">
        <v>0</v>
      </c>
      <c r="F52" s="119"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190">
        <f t="shared" si="0"/>
        <v>0</v>
      </c>
      <c r="N52" s="190">
        <f t="shared" si="1"/>
        <v>0</v>
      </c>
      <c r="O52" s="236" t="e">
        <f t="shared" si="2"/>
        <v>#REF!</v>
      </c>
      <c r="P52" s="242" t="e">
        <f>'Pri Sec_outstanding_6'!#REF!</f>
        <v>#REF!</v>
      </c>
      <c r="Q52" s="242">
        <f>D52*100/OutstandingAgri_4!L52</f>
        <v>0</v>
      </c>
    </row>
    <row r="53" spans="1:17" ht="15" customHeight="1">
      <c r="A53" s="157">
        <v>47</v>
      </c>
      <c r="B53" s="158" t="s">
        <v>77</v>
      </c>
      <c r="C53" s="119">
        <v>0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190">
        <f t="shared" si="0"/>
        <v>0</v>
      </c>
      <c r="N53" s="190">
        <f t="shared" si="1"/>
        <v>0</v>
      </c>
      <c r="O53" s="235" t="e">
        <f t="shared" si="2"/>
        <v>#REF!</v>
      </c>
      <c r="P53" s="242" t="e">
        <f>'Pri Sec_outstanding_6'!#REF!</f>
        <v>#REF!</v>
      </c>
      <c r="Q53" s="242" t="e">
        <f>D53*100/OutstandingAgri_4!L53</f>
        <v>#DIV/0!</v>
      </c>
    </row>
    <row r="54" spans="1:17" ht="15" customHeight="1">
      <c r="A54" s="157">
        <v>48</v>
      </c>
      <c r="B54" s="158" t="s">
        <v>227</v>
      </c>
      <c r="C54" s="119">
        <v>0</v>
      </c>
      <c r="D54" s="119">
        <v>0</v>
      </c>
      <c r="E54" s="119">
        <v>0</v>
      </c>
      <c r="F54" s="119">
        <v>0</v>
      </c>
      <c r="G54" s="119">
        <v>0</v>
      </c>
      <c r="H54" s="119">
        <v>0</v>
      </c>
      <c r="I54" s="119">
        <v>0</v>
      </c>
      <c r="J54" s="119">
        <v>0</v>
      </c>
      <c r="K54" s="119">
        <v>0</v>
      </c>
      <c r="L54" s="119">
        <v>0</v>
      </c>
      <c r="M54" s="190">
        <f t="shared" si="0"/>
        <v>0</v>
      </c>
      <c r="N54" s="190">
        <f t="shared" si="1"/>
        <v>0</v>
      </c>
      <c r="O54" s="235" t="e">
        <f t="shared" si="2"/>
        <v>#REF!</v>
      </c>
      <c r="P54" s="242" t="e">
        <f>'Pri Sec_outstanding_6'!#REF!</f>
        <v>#REF!</v>
      </c>
      <c r="Q54" s="242" t="e">
        <f>D54*100/OutstandingAgri_4!L54</f>
        <v>#DIV/0!</v>
      </c>
    </row>
    <row r="55" spans="1:17" ht="15" customHeight="1">
      <c r="A55" s="157">
        <v>49</v>
      </c>
      <c r="B55" s="158" t="s">
        <v>76</v>
      </c>
      <c r="C55" s="119">
        <v>7</v>
      </c>
      <c r="D55" s="119">
        <v>7.37</v>
      </c>
      <c r="E55" s="119">
        <v>0</v>
      </c>
      <c r="F55" s="119">
        <v>0</v>
      </c>
      <c r="G55" s="119">
        <v>0</v>
      </c>
      <c r="H55" s="119">
        <v>0</v>
      </c>
      <c r="I55" s="119">
        <v>12</v>
      </c>
      <c r="J55" s="119">
        <v>581</v>
      </c>
      <c r="K55" s="119">
        <v>0</v>
      </c>
      <c r="L55" s="119">
        <v>0</v>
      </c>
      <c r="M55" s="190">
        <f t="shared" si="0"/>
        <v>19</v>
      </c>
      <c r="N55" s="190">
        <f t="shared" si="1"/>
        <v>588.37</v>
      </c>
      <c r="O55" s="235" t="e">
        <f t="shared" si="2"/>
        <v>#REF!</v>
      </c>
      <c r="P55" s="242" t="e">
        <f>'Pri Sec_outstanding_6'!#REF!</f>
        <v>#REF!</v>
      </c>
      <c r="Q55" s="242">
        <f>D55*100/OutstandingAgri_4!L55</f>
        <v>2.78124962262556E-2</v>
      </c>
    </row>
    <row r="56" spans="1:17" s="245" customFormat="1" ht="15" customHeight="1">
      <c r="A56" s="159"/>
      <c r="B56" s="160" t="s">
        <v>287</v>
      </c>
      <c r="C56" s="165">
        <f>SUM(C34:C55)</f>
        <v>15457</v>
      </c>
      <c r="D56" s="165">
        <f t="shared" ref="D56:P56" si="4">SUM(D34:D55)</f>
        <v>26021.73</v>
      </c>
      <c r="E56" s="165">
        <f t="shared" si="4"/>
        <v>405</v>
      </c>
      <c r="F56" s="165">
        <f t="shared" si="4"/>
        <v>1785.6299999999999</v>
      </c>
      <c r="G56" s="165">
        <f t="shared" si="4"/>
        <v>52</v>
      </c>
      <c r="H56" s="165">
        <f t="shared" si="4"/>
        <v>83.28</v>
      </c>
      <c r="I56" s="165">
        <f t="shared" si="4"/>
        <v>10911</v>
      </c>
      <c r="J56" s="165">
        <f t="shared" si="4"/>
        <v>16982.190000000002</v>
      </c>
      <c r="K56" s="165">
        <f t="shared" si="4"/>
        <v>2378</v>
      </c>
      <c r="L56" s="165">
        <f t="shared" si="4"/>
        <v>1145.0300000000002</v>
      </c>
      <c r="M56" s="165">
        <f t="shared" si="4"/>
        <v>29203</v>
      </c>
      <c r="N56" s="165">
        <f t="shared" si="4"/>
        <v>46017.860000000008</v>
      </c>
      <c r="O56" s="165" t="e">
        <f t="shared" si="4"/>
        <v>#REF!</v>
      </c>
      <c r="P56" s="165" t="e">
        <f t="shared" si="4"/>
        <v>#REF!</v>
      </c>
      <c r="Q56" s="242">
        <f>D56*100/OutstandingAgri_4!L56</f>
        <v>2.4674912571559364</v>
      </c>
    </row>
    <row r="57" spans="1:17" ht="15" customHeight="1">
      <c r="A57" s="157">
        <v>50</v>
      </c>
      <c r="B57" s="158" t="s">
        <v>46</v>
      </c>
      <c r="C57" s="119">
        <v>33356</v>
      </c>
      <c r="D57" s="119">
        <v>27992.25</v>
      </c>
      <c r="E57" s="119">
        <v>13541</v>
      </c>
      <c r="F57" s="119">
        <v>6509.81</v>
      </c>
      <c r="G57" s="119">
        <v>89</v>
      </c>
      <c r="H57" s="119">
        <v>170.74</v>
      </c>
      <c r="I57" s="119">
        <v>33910</v>
      </c>
      <c r="J57" s="119">
        <v>7788.14</v>
      </c>
      <c r="K57" s="119">
        <v>0</v>
      </c>
      <c r="L57" s="119">
        <v>0</v>
      </c>
      <c r="M57" s="190">
        <f t="shared" si="0"/>
        <v>80896</v>
      </c>
      <c r="N57" s="190">
        <f t="shared" si="1"/>
        <v>42460.939999999995</v>
      </c>
      <c r="O57" s="235" t="e">
        <f t="shared" si="2"/>
        <v>#REF!</v>
      </c>
      <c r="P57" s="242" t="e">
        <f>'Pri Sec_outstanding_6'!#REF!</f>
        <v>#REF!</v>
      </c>
      <c r="Q57" s="242">
        <f>D57*100/OutstandingAgri_4!L57</f>
        <v>11.514256395338577</v>
      </c>
    </row>
    <row r="58" spans="1:17" ht="15" customHeight="1">
      <c r="A58" s="157">
        <v>51</v>
      </c>
      <c r="B58" s="158" t="s">
        <v>228</v>
      </c>
      <c r="C58" s="119">
        <v>44627</v>
      </c>
      <c r="D58" s="119">
        <v>34848</v>
      </c>
      <c r="E58" s="119">
        <v>9952</v>
      </c>
      <c r="F58" s="119">
        <v>7129</v>
      </c>
      <c r="G58" s="119">
        <v>103</v>
      </c>
      <c r="H58" s="119">
        <v>188</v>
      </c>
      <c r="I58" s="119">
        <v>15493</v>
      </c>
      <c r="J58" s="119">
        <v>6829</v>
      </c>
      <c r="K58" s="119">
        <v>4603</v>
      </c>
      <c r="L58" s="119">
        <v>2234</v>
      </c>
      <c r="M58" s="190">
        <f t="shared" si="0"/>
        <v>74778</v>
      </c>
      <c r="N58" s="190">
        <f t="shared" si="1"/>
        <v>51228</v>
      </c>
      <c r="O58" s="236" t="e">
        <f t="shared" si="2"/>
        <v>#REF!</v>
      </c>
      <c r="P58" s="242" t="e">
        <f>'Pri Sec_outstanding_6'!#REF!</f>
        <v>#REF!</v>
      </c>
      <c r="Q58" s="242">
        <f>D58*100/OutstandingAgri_4!L58</f>
        <v>20.939413422423584</v>
      </c>
    </row>
    <row r="59" spans="1:17" ht="15" customHeight="1">
      <c r="A59" s="157">
        <v>52</v>
      </c>
      <c r="B59" s="158" t="s">
        <v>52</v>
      </c>
      <c r="C59" s="119">
        <v>14351</v>
      </c>
      <c r="D59" s="119">
        <v>14261.93</v>
      </c>
      <c r="E59" s="119">
        <v>3149</v>
      </c>
      <c r="F59" s="119">
        <v>2422.3200000000002</v>
      </c>
      <c r="G59" s="119">
        <v>21</v>
      </c>
      <c r="H59" s="119">
        <v>39.06</v>
      </c>
      <c r="I59" s="119">
        <v>6047</v>
      </c>
      <c r="J59" s="119">
        <v>2194.2399999999998</v>
      </c>
      <c r="K59" s="119">
        <v>0</v>
      </c>
      <c r="L59" s="119">
        <v>0</v>
      </c>
      <c r="M59" s="190">
        <f t="shared" si="0"/>
        <v>23568</v>
      </c>
      <c r="N59" s="190">
        <f t="shared" si="1"/>
        <v>18917.550000000003</v>
      </c>
      <c r="O59" s="237" t="e">
        <f t="shared" si="2"/>
        <v>#REF!</v>
      </c>
      <c r="P59" s="242" t="e">
        <f>'Pri Sec_outstanding_6'!#REF!</f>
        <v>#REF!</v>
      </c>
      <c r="Q59" s="242">
        <f>D59*100/OutstandingAgri_4!L59</f>
        <v>4.7276750345577438</v>
      </c>
    </row>
    <row r="60" spans="1:17" s="245" customFormat="1" ht="15" customHeight="1">
      <c r="A60" s="159"/>
      <c r="B60" s="165" t="s">
        <v>296</v>
      </c>
      <c r="C60" s="165">
        <f>SUM(C57:C59)</f>
        <v>92334</v>
      </c>
      <c r="D60" s="165">
        <f t="shared" ref="D60:N60" si="5">SUM(D57:D59)</f>
        <v>77102.179999999993</v>
      </c>
      <c r="E60" s="165">
        <f t="shared" si="5"/>
        <v>26642</v>
      </c>
      <c r="F60" s="165">
        <f t="shared" si="5"/>
        <v>16061.130000000001</v>
      </c>
      <c r="G60" s="165">
        <f t="shared" si="5"/>
        <v>213</v>
      </c>
      <c r="H60" s="165">
        <f t="shared" si="5"/>
        <v>397.8</v>
      </c>
      <c r="I60" s="165">
        <f t="shared" si="5"/>
        <v>55450</v>
      </c>
      <c r="J60" s="165">
        <f t="shared" si="5"/>
        <v>16811.379999999997</v>
      </c>
      <c r="K60" s="165">
        <f t="shared" si="5"/>
        <v>4603</v>
      </c>
      <c r="L60" s="165">
        <f t="shared" si="5"/>
        <v>2234</v>
      </c>
      <c r="M60" s="165">
        <f t="shared" si="5"/>
        <v>179242</v>
      </c>
      <c r="N60" s="165">
        <f t="shared" si="5"/>
        <v>112606.49</v>
      </c>
      <c r="O60" s="246"/>
      <c r="P60" s="244"/>
      <c r="Q60" s="242">
        <f>D60*100/OutstandingAgri_4!L60</f>
        <v>10.841116207447765</v>
      </c>
    </row>
    <row r="61" spans="1:17" ht="15" customHeight="1">
      <c r="A61" s="157">
        <v>53</v>
      </c>
      <c r="B61" s="119" t="s">
        <v>288</v>
      </c>
      <c r="C61" s="119">
        <v>561292.58691000007</v>
      </c>
      <c r="D61" s="119">
        <v>362007.56</v>
      </c>
      <c r="E61" s="119"/>
      <c r="F61" s="119">
        <v>1636</v>
      </c>
      <c r="G61" s="119"/>
      <c r="H61" s="119"/>
      <c r="I61" s="119"/>
      <c r="J61" s="119"/>
      <c r="K61" s="119"/>
      <c r="L61" s="119"/>
      <c r="M61" s="190">
        <f t="shared" si="0"/>
        <v>561292.58691000007</v>
      </c>
      <c r="N61" s="190">
        <f t="shared" si="1"/>
        <v>363643.56</v>
      </c>
      <c r="O61" s="243"/>
      <c r="P61" s="242"/>
      <c r="Q61" s="242">
        <f>D61*100/OutstandingAgri_4!L61</f>
        <v>11.503557111572297</v>
      </c>
    </row>
    <row r="62" spans="1:17" s="245" customFormat="1" ht="15" customHeight="1">
      <c r="A62" s="159"/>
      <c r="B62" s="165" t="s">
        <v>289</v>
      </c>
      <c r="C62" s="165">
        <f>C61</f>
        <v>561292.58691000007</v>
      </c>
      <c r="D62" s="165">
        <f t="shared" ref="D62:N62" si="6">D61</f>
        <v>362007.56</v>
      </c>
      <c r="E62" s="165">
        <f t="shared" si="6"/>
        <v>0</v>
      </c>
      <c r="F62" s="165">
        <f t="shared" si="6"/>
        <v>1636</v>
      </c>
      <c r="G62" s="165">
        <f t="shared" si="6"/>
        <v>0</v>
      </c>
      <c r="H62" s="165">
        <f t="shared" si="6"/>
        <v>0</v>
      </c>
      <c r="I62" s="165">
        <f t="shared" si="6"/>
        <v>0</v>
      </c>
      <c r="J62" s="165">
        <f t="shared" si="6"/>
        <v>0</v>
      </c>
      <c r="K62" s="165">
        <f t="shared" si="6"/>
        <v>0</v>
      </c>
      <c r="L62" s="165">
        <f t="shared" si="6"/>
        <v>0</v>
      </c>
      <c r="M62" s="165">
        <f t="shared" si="6"/>
        <v>561292.58691000007</v>
      </c>
      <c r="N62" s="165">
        <f t="shared" si="6"/>
        <v>363643.56</v>
      </c>
      <c r="O62" s="246"/>
      <c r="P62" s="244"/>
      <c r="Q62" s="242">
        <f>D62*100/OutstandingAgri_4!L62</f>
        <v>11.503557111572297</v>
      </c>
    </row>
    <row r="63" spans="1:17" s="245" customFormat="1" ht="15" customHeight="1">
      <c r="A63" s="159"/>
      <c r="B63" s="165" t="s">
        <v>290</v>
      </c>
      <c r="C63" s="165">
        <f>C62+C60+C56+C33</f>
        <v>850492.58691000007</v>
      </c>
      <c r="D63" s="165">
        <f t="shared" ref="D63:N63" si="7">D62+D60+D56+D33</f>
        <v>739858.48</v>
      </c>
      <c r="E63" s="165">
        <f t="shared" si="7"/>
        <v>64213</v>
      </c>
      <c r="F63" s="165">
        <f t="shared" si="7"/>
        <v>53972.12</v>
      </c>
      <c r="G63" s="165">
        <f t="shared" si="7"/>
        <v>7667</v>
      </c>
      <c r="H63" s="165">
        <f t="shared" si="7"/>
        <v>11081.35</v>
      </c>
      <c r="I63" s="165">
        <f t="shared" si="7"/>
        <v>197980</v>
      </c>
      <c r="J63" s="165">
        <f t="shared" si="7"/>
        <v>321983.48</v>
      </c>
      <c r="K63" s="165">
        <f t="shared" si="7"/>
        <v>29320</v>
      </c>
      <c r="L63" s="165">
        <f t="shared" si="7"/>
        <v>57519.09</v>
      </c>
      <c r="M63" s="165">
        <f t="shared" si="7"/>
        <v>1149672.5869100001</v>
      </c>
      <c r="N63" s="165">
        <f t="shared" si="7"/>
        <v>1184414.52</v>
      </c>
      <c r="O63" s="246"/>
      <c r="P63" s="244"/>
      <c r="Q63" s="242">
        <f>D63*100/OutstandingAgri_4!L63</f>
        <v>8.010448766560291</v>
      </c>
    </row>
    <row r="64" spans="1:17" ht="15" customHeight="1">
      <c r="C64" s="335" t="s">
        <v>776</v>
      </c>
      <c r="Q64" s="242" t="e">
        <f>D64*100/OutstandingAgri_4!L64</f>
        <v>#DIV/0!</v>
      </c>
    </row>
    <row r="65" spans="3:17" ht="13.5" hidden="1">
      <c r="C65" s="161">
        <v>298133</v>
      </c>
      <c r="D65" s="161">
        <v>648001.04</v>
      </c>
      <c r="E65" s="161">
        <v>49592</v>
      </c>
      <c r="F65" s="161">
        <v>53217.47</v>
      </c>
      <c r="G65" s="161">
        <v>8000</v>
      </c>
      <c r="H65" s="161">
        <v>12058.41</v>
      </c>
      <c r="I65" s="161">
        <v>180317</v>
      </c>
      <c r="J65" s="161">
        <v>280710</v>
      </c>
      <c r="K65" s="161">
        <v>59902</v>
      </c>
      <c r="L65" s="161">
        <v>66635.199999999997</v>
      </c>
      <c r="M65" s="161">
        <v>595944</v>
      </c>
      <c r="N65" s="161">
        <v>1060622.1200000001</v>
      </c>
      <c r="Q65" s="242" t="e">
        <f>D65*100/OutstandingAgri_4!L65</f>
        <v>#DIV/0!</v>
      </c>
    </row>
    <row r="66" spans="3:17" hidden="1"/>
    <row r="67" spans="3:17" hidden="1"/>
    <row r="68" spans="3:17" hidden="1">
      <c r="D68" s="161">
        <f t="shared" ref="D68:P68" si="8">D63-D65</f>
        <v>91857.439999999944</v>
      </c>
      <c r="F68" s="161">
        <f t="shared" si="8"/>
        <v>754.65000000000146</v>
      </c>
      <c r="H68" s="161">
        <f t="shared" si="8"/>
        <v>-977.05999999999949</v>
      </c>
      <c r="J68" s="161">
        <f t="shared" si="8"/>
        <v>41273.479999999981</v>
      </c>
      <c r="L68" s="161">
        <f t="shared" si="8"/>
        <v>-9116.11</v>
      </c>
      <c r="M68" s="161">
        <f t="shared" si="8"/>
        <v>553728.58691000007</v>
      </c>
      <c r="N68" s="161">
        <f t="shared" si="8"/>
        <v>123792.39999999991</v>
      </c>
      <c r="O68" s="161">
        <f t="shared" si="8"/>
        <v>0</v>
      </c>
      <c r="P68" s="161">
        <f t="shared" si="8"/>
        <v>0</v>
      </c>
    </row>
    <row r="69" spans="3:17" hidden="1"/>
    <row r="71" spans="3:17">
      <c r="D71" s="164">
        <f>D63*100/OutstandingAgri_4!L63</f>
        <v>8.010448766560291</v>
      </c>
    </row>
  </sheetData>
  <mergeCells count="12">
    <mergeCell ref="A4:A5"/>
    <mergeCell ref="B4:B5"/>
    <mergeCell ref="A1:O1"/>
    <mergeCell ref="A2:O2"/>
    <mergeCell ref="O4:O5"/>
    <mergeCell ref="C4:D4"/>
    <mergeCell ref="E4:F4"/>
    <mergeCell ref="G4:H4"/>
    <mergeCell ref="I4:J4"/>
    <mergeCell ref="M4:N4"/>
    <mergeCell ref="K4:L4"/>
    <mergeCell ref="L3:M3"/>
  </mergeCells>
  <conditionalFormatting sqref="L3">
    <cfRule type="cellIs" dxfId="90" priority="8" operator="lessThan">
      <formula>0</formula>
    </cfRule>
  </conditionalFormatting>
  <conditionalFormatting sqref="B6">
    <cfRule type="duplicateValues" dxfId="89" priority="2"/>
  </conditionalFormatting>
  <conditionalFormatting sqref="B22">
    <cfRule type="duplicateValues" dxfId="88" priority="3"/>
  </conditionalFormatting>
  <conditionalFormatting sqref="B33:B34 B26:B30">
    <cfRule type="duplicateValues" dxfId="87" priority="4"/>
  </conditionalFormatting>
  <conditionalFormatting sqref="B52">
    <cfRule type="duplicateValues" dxfId="86" priority="5"/>
  </conditionalFormatting>
  <conditionalFormatting sqref="B56">
    <cfRule type="duplicateValues" dxfId="85" priority="6"/>
  </conditionalFormatting>
  <conditionalFormatting sqref="B58">
    <cfRule type="duplicateValues" dxfId="84" priority="7"/>
  </conditionalFormatting>
  <conditionalFormatting sqref="O1:O55 O57:O67 O69:O1048576">
    <cfRule type="cellIs" dxfId="83" priority="1" stopIfTrue="1" operator="greaterThan">
      <formula>100</formula>
    </cfRule>
  </conditionalFormatting>
  <pageMargins left="0.45" right="0.2" top="0.25" bottom="0.25" header="0.3" footer="0.3"/>
  <pageSetup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R69"/>
  <sheetViews>
    <sheetView zoomScaleNormal="100" workbookViewId="0">
      <pane xSplit="1" ySplit="5" topLeftCell="B17" activePane="bottomRight" state="frozen"/>
      <selection activeCell="A35" sqref="A35:IV35"/>
      <selection pane="topRight" activeCell="A35" sqref="A35:IV35"/>
      <selection pane="bottomLeft" activeCell="A35" sqref="A35:IV35"/>
      <selection pane="bottomRight" activeCell="R22" sqref="R22"/>
    </sheetView>
  </sheetViews>
  <sheetFormatPr defaultRowHeight="12.75"/>
  <cols>
    <col min="1" max="1" width="4.5703125" style="5" customWidth="1"/>
    <col min="2" max="2" width="29.5703125" style="5" customWidth="1"/>
    <col min="3" max="9" width="9.140625" style="5"/>
    <col min="10" max="10" width="10.42578125" style="5" bestFit="1" customWidth="1"/>
    <col min="11" max="11" width="9.140625" style="5"/>
    <col min="12" max="12" width="10.5703125" style="5" bestFit="1" customWidth="1"/>
    <col min="13" max="14" width="9.140625" style="5" customWidth="1"/>
    <col min="15" max="15" width="9.140625" style="203" customWidth="1"/>
    <col min="16" max="16" width="9.140625" style="5" customWidth="1"/>
    <col min="17" max="16384" width="9.140625" style="5"/>
  </cols>
  <sheetData>
    <row r="1" spans="1:18" ht="15.75" customHeight="1">
      <c r="A1" s="630" t="s">
        <v>764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</row>
    <row r="2" spans="1:18">
      <c r="A2" s="650" t="s">
        <v>171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</row>
    <row r="3" spans="1:18">
      <c r="A3" s="135"/>
      <c r="B3" s="27" t="s">
        <v>12</v>
      </c>
      <c r="C3" s="135"/>
      <c r="D3" s="26"/>
      <c r="E3" s="26"/>
      <c r="F3" s="26"/>
      <c r="G3" s="26"/>
      <c r="H3" s="26"/>
      <c r="I3" s="651" t="s">
        <v>170</v>
      </c>
      <c r="J3" s="651"/>
    </row>
    <row r="4" spans="1:18" ht="15" customHeight="1">
      <c r="A4" s="648" t="s">
        <v>230</v>
      </c>
      <c r="B4" s="648" t="s">
        <v>3</v>
      </c>
      <c r="C4" s="648" t="s">
        <v>24</v>
      </c>
      <c r="D4" s="648"/>
      <c r="E4" s="648" t="s">
        <v>19</v>
      </c>
      <c r="F4" s="648"/>
      <c r="G4" s="648" t="s">
        <v>20</v>
      </c>
      <c r="H4" s="648"/>
      <c r="I4" s="648" t="s">
        <v>53</v>
      </c>
      <c r="J4" s="648"/>
      <c r="K4" s="648" t="s">
        <v>37</v>
      </c>
      <c r="L4" s="648"/>
    </row>
    <row r="5" spans="1:18" ht="15" customHeight="1">
      <c r="A5" s="648"/>
      <c r="B5" s="648"/>
      <c r="C5" s="202" t="s">
        <v>30</v>
      </c>
      <c r="D5" s="202" t="s">
        <v>17</v>
      </c>
      <c r="E5" s="202" t="s">
        <v>30</v>
      </c>
      <c r="F5" s="202" t="s">
        <v>17</v>
      </c>
      <c r="G5" s="202" t="s">
        <v>30</v>
      </c>
      <c r="H5" s="202" t="s">
        <v>17</v>
      </c>
      <c r="I5" s="202" t="s">
        <v>30</v>
      </c>
      <c r="J5" s="202" t="s">
        <v>17</v>
      </c>
      <c r="K5" s="202" t="s">
        <v>30</v>
      </c>
      <c r="L5" s="202" t="s">
        <v>17</v>
      </c>
      <c r="O5" s="379" t="s">
        <v>299</v>
      </c>
    </row>
    <row r="6" spans="1:18" ht="15" customHeight="1">
      <c r="A6" s="129">
        <v>1</v>
      </c>
      <c r="B6" s="147" t="s">
        <v>55</v>
      </c>
      <c r="C6" s="167">
        <v>6</v>
      </c>
      <c r="D6" s="167">
        <v>4</v>
      </c>
      <c r="E6" s="167">
        <v>0</v>
      </c>
      <c r="F6" s="167">
        <v>0</v>
      </c>
      <c r="G6" s="167">
        <v>4</v>
      </c>
      <c r="H6" s="167">
        <v>41</v>
      </c>
      <c r="I6" s="167">
        <v>855</v>
      </c>
      <c r="J6" s="167">
        <v>54003</v>
      </c>
      <c r="K6" s="167">
        <f>C6+E6+G6+I6</f>
        <v>865</v>
      </c>
      <c r="L6" s="167">
        <f>D6+F6+H6+J6</f>
        <v>54048</v>
      </c>
      <c r="M6" s="248">
        <f>NPA_PS_14!N6</f>
        <v>54799</v>
      </c>
      <c r="N6" s="248">
        <f t="shared" ref="N6:N58" si="0">L6+M6</f>
        <v>108847</v>
      </c>
      <c r="O6" s="249">
        <f>NPA_13!D6</f>
        <v>108847</v>
      </c>
      <c r="P6" s="248">
        <f t="shared" ref="P6:P58" si="1">N6-O6</f>
        <v>0</v>
      </c>
      <c r="Q6" s="248"/>
      <c r="R6" s="248"/>
    </row>
    <row r="7" spans="1:18" ht="15" customHeight="1">
      <c r="A7" s="129">
        <v>2</v>
      </c>
      <c r="B7" s="147" t="s">
        <v>56</v>
      </c>
      <c r="C7" s="167">
        <v>0</v>
      </c>
      <c r="D7" s="167">
        <v>0</v>
      </c>
      <c r="E7" s="167">
        <v>0</v>
      </c>
      <c r="F7" s="167">
        <v>0</v>
      </c>
      <c r="G7" s="167">
        <v>0</v>
      </c>
      <c r="H7" s="167">
        <v>0</v>
      </c>
      <c r="I7" s="167">
        <v>0</v>
      </c>
      <c r="J7" s="167">
        <v>0</v>
      </c>
      <c r="K7" s="167">
        <f t="shared" ref="K7:K61" si="2">C7+E7+G7+I7</f>
        <v>0</v>
      </c>
      <c r="L7" s="167">
        <f t="shared" ref="L7:L61" si="3">D7+F7+H7+J7</f>
        <v>0</v>
      </c>
      <c r="M7" s="248">
        <f>NPA_PS_14!N7</f>
        <v>4848</v>
      </c>
      <c r="N7" s="248">
        <f t="shared" si="0"/>
        <v>4848</v>
      </c>
      <c r="O7" s="249">
        <f>NPA_13!D7</f>
        <v>4848</v>
      </c>
      <c r="P7" s="248">
        <f t="shared" si="1"/>
        <v>0</v>
      </c>
      <c r="Q7" s="248"/>
      <c r="R7" s="248"/>
    </row>
    <row r="8" spans="1:18" ht="15" customHeight="1">
      <c r="A8" s="129">
        <v>3</v>
      </c>
      <c r="B8" s="147" t="s">
        <v>57</v>
      </c>
      <c r="C8" s="167">
        <v>48</v>
      </c>
      <c r="D8" s="167">
        <v>23377</v>
      </c>
      <c r="E8" s="167">
        <v>137</v>
      </c>
      <c r="F8" s="167">
        <v>22238</v>
      </c>
      <c r="G8" s="167">
        <v>0</v>
      </c>
      <c r="H8" s="167">
        <v>0</v>
      </c>
      <c r="I8" s="167">
        <v>574</v>
      </c>
      <c r="J8" s="167">
        <v>14945</v>
      </c>
      <c r="K8" s="167">
        <f t="shared" si="2"/>
        <v>759</v>
      </c>
      <c r="L8" s="167">
        <f t="shared" si="3"/>
        <v>60560</v>
      </c>
      <c r="M8" s="248">
        <f>NPA_PS_14!N8</f>
        <v>57470</v>
      </c>
      <c r="N8" s="248">
        <f t="shared" si="0"/>
        <v>118030</v>
      </c>
      <c r="O8" s="249">
        <f>NPA_13!D8</f>
        <v>118030</v>
      </c>
      <c r="P8" s="248">
        <f t="shared" si="1"/>
        <v>0</v>
      </c>
      <c r="Q8" s="248"/>
      <c r="R8" s="248"/>
    </row>
    <row r="9" spans="1:18" ht="15" customHeight="1">
      <c r="A9" s="129">
        <v>4</v>
      </c>
      <c r="B9" s="147" t="s">
        <v>58</v>
      </c>
      <c r="C9" s="167">
        <v>0</v>
      </c>
      <c r="D9" s="167">
        <v>0</v>
      </c>
      <c r="E9" s="167">
        <v>0</v>
      </c>
      <c r="F9" s="167">
        <v>0</v>
      </c>
      <c r="G9" s="167">
        <v>0</v>
      </c>
      <c r="H9" s="167">
        <v>0</v>
      </c>
      <c r="I9" s="167">
        <v>3145</v>
      </c>
      <c r="J9" s="167">
        <v>23236</v>
      </c>
      <c r="K9" s="167">
        <f t="shared" si="2"/>
        <v>3145</v>
      </c>
      <c r="L9" s="167">
        <f t="shared" si="3"/>
        <v>23236</v>
      </c>
      <c r="M9" s="248">
        <f>NPA_PS_14!N9</f>
        <v>62235</v>
      </c>
      <c r="N9" s="248">
        <f t="shared" si="0"/>
        <v>85471</v>
      </c>
      <c r="O9" s="249">
        <f>NPA_13!D9</f>
        <v>85471</v>
      </c>
      <c r="P9" s="248">
        <f t="shared" si="1"/>
        <v>0</v>
      </c>
      <c r="Q9" s="248"/>
      <c r="R9" s="248"/>
    </row>
    <row r="10" spans="1:18" ht="15" customHeight="1">
      <c r="A10" s="129">
        <v>5</v>
      </c>
      <c r="B10" s="149" t="s">
        <v>59</v>
      </c>
      <c r="C10" s="167">
        <v>252</v>
      </c>
      <c r="D10" s="167">
        <v>1260</v>
      </c>
      <c r="E10" s="167">
        <v>68</v>
      </c>
      <c r="F10" s="167">
        <v>1650</v>
      </c>
      <c r="G10" s="167">
        <v>10</v>
      </c>
      <c r="H10" s="167">
        <v>439</v>
      </c>
      <c r="I10" s="167">
        <v>136</v>
      </c>
      <c r="J10" s="167">
        <v>15105</v>
      </c>
      <c r="K10" s="167">
        <f t="shared" si="2"/>
        <v>466</v>
      </c>
      <c r="L10" s="167">
        <f t="shared" si="3"/>
        <v>18454</v>
      </c>
      <c r="M10" s="248">
        <f>NPA_PS_14!N10</f>
        <v>40712.68</v>
      </c>
      <c r="N10" s="248">
        <f t="shared" si="0"/>
        <v>59166.68</v>
      </c>
      <c r="O10" s="249">
        <f>NPA_13!D10</f>
        <v>59166.68</v>
      </c>
      <c r="P10" s="248">
        <f t="shared" si="1"/>
        <v>0</v>
      </c>
      <c r="Q10" s="248"/>
      <c r="R10" s="248"/>
    </row>
    <row r="11" spans="1:18" ht="15" customHeight="1">
      <c r="A11" s="129">
        <v>6</v>
      </c>
      <c r="B11" s="147" t="s">
        <v>241</v>
      </c>
      <c r="C11" s="167">
        <v>0</v>
      </c>
      <c r="D11" s="167">
        <v>0</v>
      </c>
      <c r="E11" s="167">
        <v>0</v>
      </c>
      <c r="F11" s="167">
        <v>0</v>
      </c>
      <c r="G11" s="167">
        <v>0</v>
      </c>
      <c r="H11" s="167">
        <v>0</v>
      </c>
      <c r="I11" s="167">
        <v>0</v>
      </c>
      <c r="J11" s="167">
        <v>0</v>
      </c>
      <c r="K11" s="167">
        <f t="shared" si="2"/>
        <v>0</v>
      </c>
      <c r="L11" s="167">
        <f t="shared" si="3"/>
        <v>0</v>
      </c>
      <c r="M11" s="248">
        <f>NPA_PS_14!N11</f>
        <v>7</v>
      </c>
      <c r="N11" s="248">
        <f t="shared" si="0"/>
        <v>7</v>
      </c>
      <c r="O11" s="249">
        <f>NPA_13!D11</f>
        <v>7</v>
      </c>
      <c r="P11" s="248">
        <f t="shared" si="1"/>
        <v>0</v>
      </c>
      <c r="Q11" s="248"/>
      <c r="R11" s="248"/>
    </row>
    <row r="12" spans="1:18" ht="15" customHeight="1">
      <c r="A12" s="129">
        <v>7</v>
      </c>
      <c r="B12" s="147" t="s">
        <v>60</v>
      </c>
      <c r="C12" s="167">
        <v>1</v>
      </c>
      <c r="D12" s="167">
        <v>1504</v>
      </c>
      <c r="E12" s="167">
        <v>19</v>
      </c>
      <c r="F12" s="167">
        <v>877</v>
      </c>
      <c r="G12" s="167">
        <v>0</v>
      </c>
      <c r="H12" s="167">
        <v>0</v>
      </c>
      <c r="I12" s="167">
        <v>1100</v>
      </c>
      <c r="J12" s="167">
        <v>7088</v>
      </c>
      <c r="K12" s="167">
        <f t="shared" si="2"/>
        <v>1120</v>
      </c>
      <c r="L12" s="167">
        <f t="shared" si="3"/>
        <v>9469</v>
      </c>
      <c r="M12" s="248">
        <f>NPA_PS_14!N12</f>
        <v>29934</v>
      </c>
      <c r="N12" s="248">
        <f t="shared" si="0"/>
        <v>39403</v>
      </c>
      <c r="O12" s="249">
        <f>NPA_13!D12</f>
        <v>39403</v>
      </c>
      <c r="P12" s="248">
        <f t="shared" si="1"/>
        <v>0</v>
      </c>
      <c r="Q12" s="248"/>
      <c r="R12" s="248"/>
    </row>
    <row r="13" spans="1:18" ht="15" customHeight="1">
      <c r="A13" s="129">
        <v>8</v>
      </c>
      <c r="B13" s="147" t="s">
        <v>61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67">
        <v>5701</v>
      </c>
      <c r="J13" s="167">
        <v>47456</v>
      </c>
      <c r="K13" s="167">
        <f t="shared" si="2"/>
        <v>5701</v>
      </c>
      <c r="L13" s="167">
        <f t="shared" si="3"/>
        <v>47456</v>
      </c>
      <c r="M13" s="248">
        <f>NPA_PS_14!N13</f>
        <v>70056</v>
      </c>
      <c r="N13" s="248">
        <f t="shared" si="0"/>
        <v>117512</v>
      </c>
      <c r="O13" s="249">
        <f>NPA_13!D13</f>
        <v>117512</v>
      </c>
      <c r="P13" s="248">
        <f t="shared" si="1"/>
        <v>0</v>
      </c>
      <c r="Q13" s="248"/>
      <c r="R13" s="248"/>
    </row>
    <row r="14" spans="1:18" ht="15" customHeight="1">
      <c r="A14" s="129">
        <v>9</v>
      </c>
      <c r="B14" s="147" t="s">
        <v>48</v>
      </c>
      <c r="C14" s="167">
        <v>0</v>
      </c>
      <c r="D14" s="167">
        <v>0</v>
      </c>
      <c r="E14" s="167">
        <v>0</v>
      </c>
      <c r="F14" s="167">
        <v>0</v>
      </c>
      <c r="G14" s="167">
        <v>0</v>
      </c>
      <c r="H14" s="167">
        <v>0</v>
      </c>
      <c r="I14" s="167">
        <v>0</v>
      </c>
      <c r="J14" s="167">
        <v>0</v>
      </c>
      <c r="K14" s="167">
        <f t="shared" si="2"/>
        <v>0</v>
      </c>
      <c r="L14" s="167">
        <f t="shared" si="3"/>
        <v>0</v>
      </c>
      <c r="M14" s="248">
        <f>NPA_PS_14!N14</f>
        <v>6222</v>
      </c>
      <c r="N14" s="248">
        <f t="shared" si="0"/>
        <v>6222</v>
      </c>
      <c r="O14" s="249">
        <f>NPA_13!D14</f>
        <v>6222</v>
      </c>
      <c r="P14" s="248">
        <f t="shared" si="1"/>
        <v>0</v>
      </c>
      <c r="Q14" s="248"/>
      <c r="R14" s="248"/>
    </row>
    <row r="15" spans="1:18" ht="15" customHeight="1">
      <c r="A15" s="129">
        <v>10</v>
      </c>
      <c r="B15" s="147" t="s">
        <v>49</v>
      </c>
      <c r="C15" s="167">
        <v>0</v>
      </c>
      <c r="D15" s="167">
        <v>0</v>
      </c>
      <c r="E15" s="167">
        <v>10</v>
      </c>
      <c r="F15" s="167">
        <v>136</v>
      </c>
      <c r="G15" s="167">
        <v>0</v>
      </c>
      <c r="H15" s="167">
        <v>0</v>
      </c>
      <c r="I15" s="167">
        <v>868</v>
      </c>
      <c r="J15" s="167">
        <v>12971</v>
      </c>
      <c r="K15" s="167">
        <f t="shared" si="2"/>
        <v>878</v>
      </c>
      <c r="L15" s="167">
        <f t="shared" si="3"/>
        <v>13107</v>
      </c>
      <c r="M15" s="248">
        <f>NPA_PS_14!N15</f>
        <v>9998</v>
      </c>
      <c r="N15" s="248">
        <f t="shared" si="0"/>
        <v>23105</v>
      </c>
      <c r="O15" s="249">
        <f>NPA_13!D15</f>
        <v>23105</v>
      </c>
      <c r="P15" s="248">
        <f t="shared" si="1"/>
        <v>0</v>
      </c>
      <c r="Q15" s="248"/>
      <c r="R15" s="248"/>
    </row>
    <row r="16" spans="1:18" ht="15" customHeight="1">
      <c r="A16" s="129">
        <v>11</v>
      </c>
      <c r="B16" s="147" t="s">
        <v>81</v>
      </c>
      <c r="C16" s="167">
        <v>38</v>
      </c>
      <c r="D16" s="167">
        <v>46789</v>
      </c>
      <c r="E16" s="167">
        <v>2</v>
      </c>
      <c r="F16" s="167">
        <v>67</v>
      </c>
      <c r="G16" s="167">
        <v>1</v>
      </c>
      <c r="H16" s="167">
        <v>0.23</v>
      </c>
      <c r="I16" s="167">
        <v>53</v>
      </c>
      <c r="J16" s="167">
        <v>317.77</v>
      </c>
      <c r="K16" s="167">
        <f t="shared" si="2"/>
        <v>94</v>
      </c>
      <c r="L16" s="167">
        <f t="shared" si="3"/>
        <v>47174</v>
      </c>
      <c r="M16" s="248">
        <f>NPA_PS_14!N16</f>
        <v>8208</v>
      </c>
      <c r="N16" s="248">
        <f t="shared" si="0"/>
        <v>55382</v>
      </c>
      <c r="O16" s="249">
        <f>NPA_13!D16</f>
        <v>55382</v>
      </c>
      <c r="P16" s="248">
        <f t="shared" si="1"/>
        <v>0</v>
      </c>
      <c r="Q16" s="248"/>
      <c r="R16" s="248"/>
    </row>
    <row r="17" spans="1:18" ht="15" customHeight="1">
      <c r="A17" s="129">
        <v>12</v>
      </c>
      <c r="B17" s="147" t="s">
        <v>62</v>
      </c>
      <c r="C17" s="167">
        <v>0</v>
      </c>
      <c r="D17" s="167">
        <v>0</v>
      </c>
      <c r="E17" s="167">
        <v>0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f t="shared" si="2"/>
        <v>0</v>
      </c>
      <c r="L17" s="167">
        <f t="shared" si="3"/>
        <v>0</v>
      </c>
      <c r="M17" s="248">
        <f>NPA_PS_14!N17</f>
        <v>9516.77</v>
      </c>
      <c r="N17" s="248">
        <f t="shared" si="0"/>
        <v>9516.77</v>
      </c>
      <c r="O17" s="249">
        <f>NPA_13!D17</f>
        <v>9517</v>
      </c>
      <c r="P17" s="248">
        <f t="shared" si="1"/>
        <v>-0.22999999999956344</v>
      </c>
      <c r="Q17" s="248"/>
      <c r="R17" s="248"/>
    </row>
    <row r="18" spans="1:18" ht="15" customHeight="1">
      <c r="A18" s="129">
        <v>13</v>
      </c>
      <c r="B18" s="101" t="s">
        <v>63</v>
      </c>
      <c r="C18" s="167">
        <v>9</v>
      </c>
      <c r="D18" s="167">
        <v>12992.1</v>
      </c>
      <c r="E18" s="167">
        <v>0</v>
      </c>
      <c r="F18" s="167">
        <v>0</v>
      </c>
      <c r="G18" s="167">
        <v>0</v>
      </c>
      <c r="H18" s="167">
        <v>0</v>
      </c>
      <c r="I18" s="167">
        <v>88</v>
      </c>
      <c r="J18" s="167">
        <v>1001.99</v>
      </c>
      <c r="K18" s="167">
        <f t="shared" si="2"/>
        <v>97</v>
      </c>
      <c r="L18" s="167">
        <f t="shared" si="3"/>
        <v>13994.09</v>
      </c>
      <c r="M18" s="248">
        <f>NPA_PS_14!N18</f>
        <v>1296.1799999999998</v>
      </c>
      <c r="N18" s="248">
        <f t="shared" si="0"/>
        <v>15290.27</v>
      </c>
      <c r="O18" s="249">
        <f>NPA_13!D18</f>
        <v>15290.27</v>
      </c>
      <c r="P18" s="248">
        <f t="shared" si="1"/>
        <v>0</v>
      </c>
      <c r="Q18" s="248"/>
      <c r="R18" s="248"/>
    </row>
    <row r="19" spans="1:18" ht="15" customHeight="1">
      <c r="A19" s="129">
        <v>14</v>
      </c>
      <c r="B19" s="147" t="s">
        <v>206</v>
      </c>
      <c r="C19" s="167">
        <v>0</v>
      </c>
      <c r="D19" s="167">
        <v>0</v>
      </c>
      <c r="E19" s="167">
        <v>5</v>
      </c>
      <c r="F19" s="167">
        <v>85.94</v>
      </c>
      <c r="G19" s="167">
        <v>0</v>
      </c>
      <c r="H19" s="167">
        <v>0</v>
      </c>
      <c r="I19" s="167">
        <v>291</v>
      </c>
      <c r="J19" s="167">
        <v>24873.119999999999</v>
      </c>
      <c r="K19" s="167">
        <f t="shared" si="2"/>
        <v>296</v>
      </c>
      <c r="L19" s="167">
        <f t="shared" si="3"/>
        <v>24959.059999999998</v>
      </c>
      <c r="M19" s="248">
        <f>NPA_PS_14!N19</f>
        <v>11707.72</v>
      </c>
      <c r="N19" s="248">
        <f t="shared" si="0"/>
        <v>36666.78</v>
      </c>
      <c r="O19" s="249">
        <f>NPA_13!D19</f>
        <v>36666.78</v>
      </c>
      <c r="P19" s="248">
        <f t="shared" si="1"/>
        <v>0</v>
      </c>
      <c r="Q19" s="248"/>
      <c r="R19" s="248"/>
    </row>
    <row r="20" spans="1:18" ht="15" customHeight="1">
      <c r="A20" s="129">
        <v>15</v>
      </c>
      <c r="B20" s="147" t="s">
        <v>207</v>
      </c>
      <c r="C20" s="167">
        <v>0</v>
      </c>
      <c r="D20" s="167">
        <v>0</v>
      </c>
      <c r="E20" s="167">
        <v>0</v>
      </c>
      <c r="F20" s="167">
        <v>0</v>
      </c>
      <c r="G20" s="167">
        <v>2</v>
      </c>
      <c r="H20" s="167">
        <v>6.11</v>
      </c>
      <c r="I20" s="167">
        <v>532</v>
      </c>
      <c r="J20" s="167">
        <v>125.71</v>
      </c>
      <c r="K20" s="167">
        <f t="shared" si="2"/>
        <v>534</v>
      </c>
      <c r="L20" s="167">
        <f t="shared" si="3"/>
        <v>131.82</v>
      </c>
      <c r="M20" s="248">
        <f>NPA_PS_14!N20</f>
        <v>3895.73</v>
      </c>
      <c r="N20" s="248">
        <f t="shared" si="0"/>
        <v>4027.55</v>
      </c>
      <c r="O20" s="249">
        <f>NPA_13!D20</f>
        <v>4027.55</v>
      </c>
      <c r="P20" s="248">
        <f t="shared" si="1"/>
        <v>0</v>
      </c>
      <c r="Q20" s="248"/>
      <c r="R20" s="248"/>
    </row>
    <row r="21" spans="1:18" ht="15" customHeight="1">
      <c r="A21" s="129">
        <v>16</v>
      </c>
      <c r="B21" s="102" t="s">
        <v>64</v>
      </c>
      <c r="C21" s="167">
        <v>3</v>
      </c>
      <c r="D21" s="167">
        <v>3081</v>
      </c>
      <c r="E21" s="167">
        <v>142</v>
      </c>
      <c r="F21" s="167">
        <v>2457</v>
      </c>
      <c r="G21" s="167">
        <v>0</v>
      </c>
      <c r="H21" s="167">
        <v>0</v>
      </c>
      <c r="I21" s="167">
        <v>1081</v>
      </c>
      <c r="J21" s="167">
        <v>36741</v>
      </c>
      <c r="K21" s="167">
        <f t="shared" si="2"/>
        <v>1226</v>
      </c>
      <c r="L21" s="167">
        <f t="shared" si="3"/>
        <v>42279</v>
      </c>
      <c r="M21" s="248">
        <f>NPA_PS_14!N21</f>
        <v>70307</v>
      </c>
      <c r="N21" s="248">
        <f t="shared" si="0"/>
        <v>112586</v>
      </c>
      <c r="O21" s="249">
        <f>NPA_13!D21</f>
        <v>112586</v>
      </c>
      <c r="P21" s="248">
        <f t="shared" si="1"/>
        <v>0</v>
      </c>
      <c r="Q21" s="248"/>
      <c r="R21" s="248"/>
    </row>
    <row r="22" spans="1:18" ht="15" customHeight="1">
      <c r="A22" s="129">
        <v>17</v>
      </c>
      <c r="B22" s="97" t="s">
        <v>69</v>
      </c>
      <c r="C22" s="167">
        <v>0</v>
      </c>
      <c r="D22" s="167">
        <v>0</v>
      </c>
      <c r="E22" s="167">
        <v>0</v>
      </c>
      <c r="F22" s="167"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f t="shared" si="2"/>
        <v>0</v>
      </c>
      <c r="L22" s="167">
        <f t="shared" si="3"/>
        <v>0</v>
      </c>
      <c r="M22" s="248">
        <f>NPA_PS_14!N22</f>
        <v>0</v>
      </c>
      <c r="N22" s="248">
        <f t="shared" si="0"/>
        <v>0</v>
      </c>
      <c r="O22" s="249">
        <f>NPA_13!D22</f>
        <v>0</v>
      </c>
      <c r="P22" s="248">
        <f t="shared" si="1"/>
        <v>0</v>
      </c>
      <c r="Q22" s="248"/>
      <c r="R22" s="248"/>
    </row>
    <row r="23" spans="1:18" ht="15" customHeight="1">
      <c r="A23" s="129">
        <v>18</v>
      </c>
      <c r="B23" s="103" t="s">
        <v>208</v>
      </c>
      <c r="C23" s="167">
        <v>19</v>
      </c>
      <c r="D23" s="167">
        <f>8103-4589</f>
        <v>3514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f t="shared" si="2"/>
        <v>19</v>
      </c>
      <c r="L23" s="167">
        <f t="shared" si="3"/>
        <v>3514</v>
      </c>
      <c r="M23" s="248">
        <f>NPA_PS_14!N23</f>
        <v>342.3</v>
      </c>
      <c r="N23" s="248">
        <f t="shared" si="0"/>
        <v>3856.3</v>
      </c>
      <c r="O23" s="249">
        <f>NPA_13!D23</f>
        <v>3856</v>
      </c>
      <c r="P23" s="248">
        <f t="shared" si="1"/>
        <v>0.3000000000001819</v>
      </c>
      <c r="Q23" s="248"/>
      <c r="R23" s="248"/>
    </row>
    <row r="24" spans="1:18" ht="15" customHeight="1">
      <c r="A24" s="129">
        <v>19</v>
      </c>
      <c r="B24" s="147" t="s">
        <v>209</v>
      </c>
      <c r="C24" s="167">
        <v>89</v>
      </c>
      <c r="D24" s="167">
        <v>90.85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7">
        <f t="shared" si="2"/>
        <v>89</v>
      </c>
      <c r="L24" s="167">
        <f t="shared" si="3"/>
        <v>90.85</v>
      </c>
      <c r="M24" s="248">
        <f>NPA_PS_14!N24</f>
        <v>700</v>
      </c>
      <c r="N24" s="248">
        <f t="shared" si="0"/>
        <v>790.85</v>
      </c>
      <c r="O24" s="249">
        <f>NPA_13!D24</f>
        <v>791</v>
      </c>
      <c r="P24" s="248">
        <f t="shared" si="1"/>
        <v>-0.14999999999997726</v>
      </c>
      <c r="Q24" s="248"/>
      <c r="R24" s="248"/>
    </row>
    <row r="25" spans="1:18" ht="15" customHeight="1">
      <c r="A25" s="129">
        <v>20</v>
      </c>
      <c r="B25" s="147" t="s">
        <v>210</v>
      </c>
      <c r="C25" s="167">
        <v>0</v>
      </c>
      <c r="D25" s="167">
        <v>0</v>
      </c>
      <c r="E25" s="167">
        <v>0</v>
      </c>
      <c r="F25" s="167">
        <v>0</v>
      </c>
      <c r="G25" s="167">
        <v>0</v>
      </c>
      <c r="H25" s="167">
        <v>0</v>
      </c>
      <c r="I25" s="167">
        <v>3</v>
      </c>
      <c r="J25" s="167">
        <v>96</v>
      </c>
      <c r="K25" s="167">
        <f t="shared" si="2"/>
        <v>3</v>
      </c>
      <c r="L25" s="167">
        <f t="shared" si="3"/>
        <v>96</v>
      </c>
      <c r="M25" s="248">
        <f>NPA_PS_14!N25</f>
        <v>2661</v>
      </c>
      <c r="N25" s="248">
        <f t="shared" si="0"/>
        <v>2757</v>
      </c>
      <c r="O25" s="249">
        <f>NPA_13!D25</f>
        <v>2757</v>
      </c>
      <c r="P25" s="248">
        <f t="shared" si="1"/>
        <v>0</v>
      </c>
      <c r="Q25" s="248"/>
      <c r="R25" s="248"/>
    </row>
    <row r="26" spans="1:18" ht="15" customHeight="1">
      <c r="A26" s="129">
        <v>21</v>
      </c>
      <c r="B26" s="147" t="s">
        <v>211</v>
      </c>
      <c r="C26" s="167">
        <v>0</v>
      </c>
      <c r="D26" s="167">
        <v>0</v>
      </c>
      <c r="E26" s="167">
        <v>0</v>
      </c>
      <c r="F26" s="167">
        <v>0</v>
      </c>
      <c r="G26" s="167">
        <v>18</v>
      </c>
      <c r="H26" s="167">
        <v>22</v>
      </c>
      <c r="I26" s="167">
        <v>4</v>
      </c>
      <c r="J26" s="167">
        <v>7476</v>
      </c>
      <c r="K26" s="167">
        <f t="shared" si="2"/>
        <v>22</v>
      </c>
      <c r="L26" s="167">
        <f t="shared" si="3"/>
        <v>7498</v>
      </c>
      <c r="M26" s="248">
        <f>NPA_PS_14!N26</f>
        <v>626.70000000000005</v>
      </c>
      <c r="N26" s="248">
        <f t="shared" si="0"/>
        <v>8124.7</v>
      </c>
      <c r="O26" s="249">
        <f>NPA_13!D26</f>
        <v>8125</v>
      </c>
      <c r="P26" s="248">
        <f t="shared" si="1"/>
        <v>-0.3000000000001819</v>
      </c>
      <c r="Q26" s="248"/>
      <c r="R26" s="248"/>
    </row>
    <row r="27" spans="1:18" ht="15" customHeight="1">
      <c r="A27" s="129">
        <v>22</v>
      </c>
      <c r="B27" s="147" t="s">
        <v>70</v>
      </c>
      <c r="C27" s="167">
        <v>12</v>
      </c>
      <c r="D27" s="167">
        <v>372</v>
      </c>
      <c r="E27" s="167">
        <v>4</v>
      </c>
      <c r="F27" s="167">
        <v>72</v>
      </c>
      <c r="G27" s="167">
        <v>6</v>
      </c>
      <c r="H27" s="167">
        <v>36</v>
      </c>
      <c r="I27" s="167">
        <v>3403</v>
      </c>
      <c r="J27" s="167">
        <v>3163</v>
      </c>
      <c r="K27" s="167">
        <f t="shared" si="2"/>
        <v>3425</v>
      </c>
      <c r="L27" s="167">
        <f t="shared" si="3"/>
        <v>3643</v>
      </c>
      <c r="M27" s="248">
        <f>NPA_PS_14!N27</f>
        <v>100667</v>
      </c>
      <c r="N27" s="248">
        <f t="shared" si="0"/>
        <v>104310</v>
      </c>
      <c r="O27" s="249">
        <f>NPA_13!D27</f>
        <v>104310</v>
      </c>
      <c r="P27" s="248">
        <f t="shared" si="1"/>
        <v>0</v>
      </c>
      <c r="Q27" s="248"/>
      <c r="R27" s="248"/>
    </row>
    <row r="28" spans="1:18" ht="15" customHeight="1">
      <c r="A28" s="129">
        <v>23</v>
      </c>
      <c r="B28" s="147" t="s">
        <v>65</v>
      </c>
      <c r="C28" s="167">
        <v>2</v>
      </c>
      <c r="D28" s="167">
        <v>3452</v>
      </c>
      <c r="E28" s="167">
        <v>5</v>
      </c>
      <c r="F28" s="167">
        <v>34</v>
      </c>
      <c r="G28" s="167">
        <v>0</v>
      </c>
      <c r="H28" s="167">
        <v>0</v>
      </c>
      <c r="I28" s="167">
        <v>605</v>
      </c>
      <c r="J28" s="167">
        <v>2120</v>
      </c>
      <c r="K28" s="167">
        <f t="shared" si="2"/>
        <v>612</v>
      </c>
      <c r="L28" s="167">
        <f t="shared" si="3"/>
        <v>5606</v>
      </c>
      <c r="M28" s="248">
        <f>NPA_PS_14!N28</f>
        <v>15316</v>
      </c>
      <c r="N28" s="248">
        <f t="shared" si="0"/>
        <v>20922</v>
      </c>
      <c r="O28" s="249">
        <f>NPA_13!D28</f>
        <v>20922</v>
      </c>
      <c r="P28" s="248">
        <f t="shared" si="1"/>
        <v>0</v>
      </c>
      <c r="Q28" s="248"/>
      <c r="R28" s="248"/>
    </row>
    <row r="29" spans="1:18" ht="15" customHeight="1">
      <c r="A29" s="129">
        <v>24</v>
      </c>
      <c r="B29" s="147" t="s">
        <v>212</v>
      </c>
      <c r="C29" s="167">
        <v>3482</v>
      </c>
      <c r="D29" s="167">
        <v>10217.61</v>
      </c>
      <c r="E29" s="167">
        <v>9</v>
      </c>
      <c r="F29" s="167">
        <v>19</v>
      </c>
      <c r="G29" s="167">
        <v>0</v>
      </c>
      <c r="H29" s="167">
        <v>0</v>
      </c>
      <c r="I29" s="167">
        <v>300</v>
      </c>
      <c r="J29" s="167">
        <v>496</v>
      </c>
      <c r="K29" s="167">
        <f t="shared" si="2"/>
        <v>3791</v>
      </c>
      <c r="L29" s="167">
        <f t="shared" si="3"/>
        <v>10732.61</v>
      </c>
      <c r="M29" s="248">
        <f>NPA_PS_14!N29</f>
        <v>54332</v>
      </c>
      <c r="N29" s="248">
        <f t="shared" si="0"/>
        <v>65064.61</v>
      </c>
      <c r="O29" s="249">
        <f>NPA_13!D29</f>
        <v>65064.61</v>
      </c>
      <c r="P29" s="248">
        <f t="shared" si="1"/>
        <v>0</v>
      </c>
      <c r="Q29" s="248"/>
      <c r="R29" s="248"/>
    </row>
    <row r="30" spans="1:18" ht="15" customHeight="1">
      <c r="A30" s="129">
        <v>25</v>
      </c>
      <c r="B30" s="149" t="s">
        <v>66</v>
      </c>
      <c r="C30" s="167">
        <v>0</v>
      </c>
      <c r="D30" s="167">
        <v>0</v>
      </c>
      <c r="E30" s="167">
        <v>0</v>
      </c>
      <c r="F30" s="167">
        <v>0</v>
      </c>
      <c r="G30" s="167">
        <v>0</v>
      </c>
      <c r="H30" s="167">
        <v>0</v>
      </c>
      <c r="I30" s="167">
        <v>3392</v>
      </c>
      <c r="J30" s="167">
        <v>27109</v>
      </c>
      <c r="K30" s="167">
        <f t="shared" si="2"/>
        <v>3392</v>
      </c>
      <c r="L30" s="167">
        <f t="shared" si="3"/>
        <v>27109</v>
      </c>
      <c r="M30" s="248">
        <f>NPA_PS_14!N30</f>
        <v>43860</v>
      </c>
      <c r="N30" s="248">
        <f t="shared" si="0"/>
        <v>70969</v>
      </c>
      <c r="O30" s="249">
        <f>NPA_13!D30</f>
        <v>70969</v>
      </c>
      <c r="P30" s="248">
        <f t="shared" si="1"/>
        <v>0</v>
      </c>
      <c r="Q30" s="248"/>
      <c r="R30" s="248"/>
    </row>
    <row r="31" spans="1:18" ht="15" customHeight="1">
      <c r="A31" s="129">
        <v>26</v>
      </c>
      <c r="B31" s="147" t="s">
        <v>67</v>
      </c>
      <c r="C31" s="167">
        <v>2</v>
      </c>
      <c r="D31" s="167">
        <v>7115</v>
      </c>
      <c r="E31" s="167">
        <v>3</v>
      </c>
      <c r="F31" s="167">
        <v>8.84</v>
      </c>
      <c r="G31" s="167">
        <v>0</v>
      </c>
      <c r="H31" s="167">
        <v>0</v>
      </c>
      <c r="I31" s="167">
        <v>16</v>
      </c>
      <c r="J31" s="167">
        <v>552</v>
      </c>
      <c r="K31" s="167">
        <f t="shared" si="2"/>
        <v>21</v>
      </c>
      <c r="L31" s="167">
        <f t="shared" si="3"/>
        <v>7675.84</v>
      </c>
      <c r="M31" s="248">
        <f>NPA_PS_14!N31</f>
        <v>908.16</v>
      </c>
      <c r="N31" s="248">
        <f t="shared" ref="N31:N33" si="4">L31+M31</f>
        <v>8584</v>
      </c>
      <c r="O31" s="249">
        <f>NPA_13!D31</f>
        <v>8584</v>
      </c>
      <c r="P31" s="248">
        <f t="shared" ref="P31:P33" si="5">N31-O31</f>
        <v>0</v>
      </c>
      <c r="Q31" s="248"/>
      <c r="R31" s="248"/>
    </row>
    <row r="32" spans="1:18" ht="15" customHeight="1">
      <c r="A32" s="129">
        <v>27</v>
      </c>
      <c r="B32" s="147" t="s">
        <v>50</v>
      </c>
      <c r="C32" s="167">
        <v>0</v>
      </c>
      <c r="D32" s="167">
        <v>0</v>
      </c>
      <c r="E32" s="167">
        <v>0</v>
      </c>
      <c r="F32" s="167">
        <v>0</v>
      </c>
      <c r="G32" s="167">
        <v>0</v>
      </c>
      <c r="H32" s="167">
        <v>0</v>
      </c>
      <c r="I32" s="167">
        <v>85</v>
      </c>
      <c r="J32" s="167">
        <v>1124</v>
      </c>
      <c r="K32" s="167">
        <f t="shared" si="2"/>
        <v>85</v>
      </c>
      <c r="L32" s="167">
        <f t="shared" si="3"/>
        <v>1124</v>
      </c>
      <c r="M32" s="248">
        <f>NPA_PS_14!N32</f>
        <v>1520.37</v>
      </c>
      <c r="N32" s="248">
        <f t="shared" si="4"/>
        <v>2644.37</v>
      </c>
      <c r="O32" s="249">
        <f>NPA_13!D32</f>
        <v>2644.27</v>
      </c>
      <c r="P32" s="248">
        <f t="shared" si="5"/>
        <v>9.9999999999909051E-2</v>
      </c>
      <c r="Q32" s="248"/>
      <c r="R32" s="248"/>
    </row>
    <row r="33" spans="1:18" s="247" customFormat="1" ht="15" customHeight="1">
      <c r="A33" s="129"/>
      <c r="B33" s="150" t="s">
        <v>286</v>
      </c>
      <c r="C33" s="169">
        <f>SUM(C6:C32)</f>
        <v>3963</v>
      </c>
      <c r="D33" s="169">
        <f t="shared" ref="D33:L33" si="6">SUM(D6:D32)</f>
        <v>113768.56000000001</v>
      </c>
      <c r="E33" s="169">
        <f t="shared" si="6"/>
        <v>404</v>
      </c>
      <c r="F33" s="169">
        <f t="shared" si="6"/>
        <v>27644.78</v>
      </c>
      <c r="G33" s="169">
        <f t="shared" si="6"/>
        <v>41</v>
      </c>
      <c r="H33" s="169">
        <f t="shared" si="6"/>
        <v>544.34</v>
      </c>
      <c r="I33" s="169">
        <f t="shared" si="6"/>
        <v>22232</v>
      </c>
      <c r="J33" s="169">
        <f t="shared" si="6"/>
        <v>279999.58999999997</v>
      </c>
      <c r="K33" s="169">
        <f t="shared" si="6"/>
        <v>26640</v>
      </c>
      <c r="L33" s="169">
        <f t="shared" si="6"/>
        <v>421957.27</v>
      </c>
      <c r="M33" s="248">
        <f>NPA_PS_14!N33</f>
        <v>662146.61</v>
      </c>
      <c r="N33" s="248">
        <f t="shared" si="4"/>
        <v>1084103.8799999999</v>
      </c>
      <c r="O33" s="249">
        <f>NPA_13!D33</f>
        <v>1084104.1600000001</v>
      </c>
      <c r="P33" s="248">
        <f t="shared" si="5"/>
        <v>-0.28000000026077032</v>
      </c>
      <c r="Q33" s="250"/>
      <c r="R33" s="250"/>
    </row>
    <row r="34" spans="1:18" ht="15" customHeight="1">
      <c r="A34" s="129">
        <v>28</v>
      </c>
      <c r="B34" s="147" t="s">
        <v>47</v>
      </c>
      <c r="C34" s="167">
        <v>0</v>
      </c>
      <c r="D34" s="167">
        <v>0</v>
      </c>
      <c r="E34" s="167">
        <v>0</v>
      </c>
      <c r="F34" s="167">
        <v>0</v>
      </c>
      <c r="G34" s="167">
        <v>0</v>
      </c>
      <c r="H34" s="167">
        <v>0</v>
      </c>
      <c r="I34" s="167">
        <v>936</v>
      </c>
      <c r="J34" s="167">
        <v>9743</v>
      </c>
      <c r="K34" s="167">
        <f t="shared" si="2"/>
        <v>936</v>
      </c>
      <c r="L34" s="167">
        <f t="shared" si="3"/>
        <v>9743</v>
      </c>
      <c r="M34" s="248">
        <f>NPA_PS_14!N34</f>
        <v>8463.8199999999979</v>
      </c>
      <c r="N34" s="248">
        <f t="shared" si="0"/>
        <v>18206.82</v>
      </c>
      <c r="O34" s="249">
        <f>NPA_13!D34</f>
        <v>18206.93</v>
      </c>
      <c r="P34" s="248">
        <f t="shared" si="1"/>
        <v>-0.11000000000058208</v>
      </c>
      <c r="Q34" s="248"/>
      <c r="R34" s="248"/>
    </row>
    <row r="35" spans="1:18" ht="15" customHeight="1">
      <c r="A35" s="129">
        <v>29</v>
      </c>
      <c r="B35" s="130" t="s">
        <v>214</v>
      </c>
      <c r="C35" s="167">
        <v>0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f t="shared" si="2"/>
        <v>0</v>
      </c>
      <c r="L35" s="167">
        <f t="shared" si="3"/>
        <v>0</v>
      </c>
      <c r="M35" s="248">
        <f>NPA_PS_14!N35</f>
        <v>0</v>
      </c>
      <c r="N35" s="248">
        <f t="shared" si="0"/>
        <v>0</v>
      </c>
      <c r="O35" s="249">
        <f>NPA_13!D35</f>
        <v>0</v>
      </c>
      <c r="P35" s="248">
        <f t="shared" si="1"/>
        <v>0</v>
      </c>
      <c r="Q35" s="248"/>
      <c r="R35" s="248"/>
    </row>
    <row r="36" spans="1:18" ht="15" customHeight="1">
      <c r="A36" s="129">
        <v>30</v>
      </c>
      <c r="B36" s="130" t="s">
        <v>215</v>
      </c>
      <c r="C36" s="167">
        <v>0</v>
      </c>
      <c r="D36" s="167">
        <v>0</v>
      </c>
      <c r="E36" s="167">
        <v>0</v>
      </c>
      <c r="F36" s="167">
        <v>0</v>
      </c>
      <c r="G36" s="167">
        <v>0</v>
      </c>
      <c r="H36" s="167">
        <v>0</v>
      </c>
      <c r="I36" s="167">
        <v>0</v>
      </c>
      <c r="J36" s="167">
        <v>0</v>
      </c>
      <c r="K36" s="167">
        <f t="shared" si="2"/>
        <v>0</v>
      </c>
      <c r="L36" s="167">
        <f t="shared" si="3"/>
        <v>0</v>
      </c>
      <c r="M36" s="248">
        <f>NPA_PS_14!N36</f>
        <v>0</v>
      </c>
      <c r="N36" s="248">
        <f t="shared" si="0"/>
        <v>0</v>
      </c>
      <c r="O36" s="249">
        <f>NPA_13!D36</f>
        <v>0</v>
      </c>
      <c r="P36" s="248">
        <f t="shared" si="1"/>
        <v>0</v>
      </c>
      <c r="Q36" s="248"/>
      <c r="R36" s="248"/>
    </row>
    <row r="37" spans="1:18" ht="15" customHeight="1">
      <c r="A37" s="129">
        <v>31</v>
      </c>
      <c r="B37" s="147" t="s">
        <v>78</v>
      </c>
      <c r="C37" s="167">
        <v>0</v>
      </c>
      <c r="D37" s="167">
        <v>0</v>
      </c>
      <c r="E37" s="167">
        <v>0</v>
      </c>
      <c r="F37" s="167">
        <v>0</v>
      </c>
      <c r="G37" s="167">
        <v>0</v>
      </c>
      <c r="H37" s="167">
        <v>0</v>
      </c>
      <c r="I37" s="167">
        <v>0</v>
      </c>
      <c r="J37" s="167">
        <v>0</v>
      </c>
      <c r="K37" s="167">
        <f t="shared" si="2"/>
        <v>0</v>
      </c>
      <c r="L37" s="167">
        <f t="shared" si="3"/>
        <v>0</v>
      </c>
      <c r="M37" s="248">
        <f>NPA_PS_14!N37</f>
        <v>0</v>
      </c>
      <c r="N37" s="248">
        <f t="shared" si="0"/>
        <v>0</v>
      </c>
      <c r="O37" s="249">
        <f>NPA_13!D37</f>
        <v>0</v>
      </c>
      <c r="P37" s="248">
        <f t="shared" si="1"/>
        <v>0</v>
      </c>
      <c r="Q37" s="248"/>
      <c r="R37" s="248"/>
    </row>
    <row r="38" spans="1:18" ht="15" customHeight="1">
      <c r="A38" s="129">
        <v>32</v>
      </c>
      <c r="B38" s="147" t="s">
        <v>51</v>
      </c>
      <c r="C38" s="167">
        <v>0</v>
      </c>
      <c r="D38" s="167">
        <v>0</v>
      </c>
      <c r="E38" s="167">
        <v>1</v>
      </c>
      <c r="F38" s="167">
        <v>39.729999999999997</v>
      </c>
      <c r="G38" s="167">
        <v>0</v>
      </c>
      <c r="H38" s="167">
        <v>0</v>
      </c>
      <c r="I38" s="167">
        <v>0</v>
      </c>
      <c r="J38" s="167">
        <v>0</v>
      </c>
      <c r="K38" s="167">
        <f t="shared" si="2"/>
        <v>1</v>
      </c>
      <c r="L38" s="167">
        <f t="shared" si="3"/>
        <v>39.729999999999997</v>
      </c>
      <c r="M38" s="248">
        <f>NPA_PS_14!N38</f>
        <v>155.02000000000001</v>
      </c>
      <c r="N38" s="248">
        <f t="shared" si="0"/>
        <v>194.75</v>
      </c>
      <c r="O38" s="249">
        <f>NPA_13!D38</f>
        <v>194.74</v>
      </c>
      <c r="P38" s="248">
        <f t="shared" si="1"/>
        <v>9.9999999999909051E-3</v>
      </c>
      <c r="Q38" s="248"/>
      <c r="R38" s="248"/>
    </row>
    <row r="39" spans="1:18" ht="15" customHeight="1">
      <c r="A39" s="129">
        <v>33</v>
      </c>
      <c r="B39" s="147" t="s">
        <v>216</v>
      </c>
      <c r="C39" s="167">
        <v>1</v>
      </c>
      <c r="D39" s="167">
        <v>76.099999999999994</v>
      </c>
      <c r="E39" s="167">
        <v>4</v>
      </c>
      <c r="F39" s="167">
        <v>161.47</v>
      </c>
      <c r="G39" s="167">
        <v>0</v>
      </c>
      <c r="H39" s="167">
        <v>0</v>
      </c>
      <c r="I39" s="167">
        <v>8</v>
      </c>
      <c r="J39" s="167">
        <v>176.3</v>
      </c>
      <c r="K39" s="167">
        <f t="shared" si="2"/>
        <v>13</v>
      </c>
      <c r="L39" s="167">
        <f t="shared" si="3"/>
        <v>413.87</v>
      </c>
      <c r="M39" s="248">
        <f>NPA_PS_14!N39</f>
        <v>1257.46</v>
      </c>
      <c r="N39" s="248">
        <f t="shared" si="0"/>
        <v>1671.33</v>
      </c>
      <c r="O39" s="249">
        <f>NPA_13!D39</f>
        <v>1671.33</v>
      </c>
      <c r="P39" s="248">
        <f t="shared" si="1"/>
        <v>0</v>
      </c>
      <c r="Q39" s="248"/>
      <c r="R39" s="248"/>
    </row>
    <row r="40" spans="1:18" ht="15" customHeight="1">
      <c r="A40" s="129">
        <v>34</v>
      </c>
      <c r="B40" s="147" t="s">
        <v>217</v>
      </c>
      <c r="C40" s="167">
        <v>0</v>
      </c>
      <c r="D40" s="167">
        <v>0</v>
      </c>
      <c r="E40" s="167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f t="shared" si="2"/>
        <v>0</v>
      </c>
      <c r="L40" s="167">
        <f t="shared" si="3"/>
        <v>0</v>
      </c>
      <c r="M40" s="248">
        <f>NPA_PS_14!N40</f>
        <v>0</v>
      </c>
      <c r="N40" s="248">
        <f t="shared" si="0"/>
        <v>0</v>
      </c>
      <c r="O40" s="249">
        <f>NPA_13!D40</f>
        <v>0</v>
      </c>
      <c r="P40" s="248">
        <f t="shared" si="1"/>
        <v>0</v>
      </c>
      <c r="Q40" s="248"/>
      <c r="R40" s="248"/>
    </row>
    <row r="41" spans="1:18" ht="15" customHeight="1">
      <c r="A41" s="129">
        <v>35</v>
      </c>
      <c r="B41" s="147" t="s">
        <v>218</v>
      </c>
      <c r="C41" s="167">
        <v>0</v>
      </c>
      <c r="D41" s="167">
        <v>0</v>
      </c>
      <c r="E41" s="167">
        <v>0</v>
      </c>
      <c r="F41" s="167">
        <v>0</v>
      </c>
      <c r="G41" s="167">
        <v>0</v>
      </c>
      <c r="H41" s="167">
        <v>0</v>
      </c>
      <c r="I41" s="167">
        <v>12</v>
      </c>
      <c r="J41" s="167">
        <v>1126</v>
      </c>
      <c r="K41" s="167">
        <f t="shared" si="2"/>
        <v>12</v>
      </c>
      <c r="L41" s="167">
        <f t="shared" si="3"/>
        <v>1126</v>
      </c>
      <c r="M41" s="248">
        <f>NPA_PS_14!N41</f>
        <v>47</v>
      </c>
      <c r="N41" s="248">
        <f t="shared" si="0"/>
        <v>1173</v>
      </c>
      <c r="O41" s="249">
        <f>NPA_13!D41</f>
        <v>1173</v>
      </c>
      <c r="P41" s="248">
        <f t="shared" si="1"/>
        <v>0</v>
      </c>
      <c r="Q41" s="248"/>
      <c r="R41" s="248"/>
    </row>
    <row r="42" spans="1:18" ht="15" customHeight="1">
      <c r="A42" s="129">
        <v>36</v>
      </c>
      <c r="B42" s="147" t="s">
        <v>71</v>
      </c>
      <c r="C42" s="167">
        <v>0</v>
      </c>
      <c r="D42" s="167">
        <v>0</v>
      </c>
      <c r="E42" s="167">
        <v>0</v>
      </c>
      <c r="F42" s="167">
        <v>0</v>
      </c>
      <c r="G42" s="167">
        <v>0</v>
      </c>
      <c r="H42" s="167">
        <v>0</v>
      </c>
      <c r="I42" s="167">
        <v>5359</v>
      </c>
      <c r="J42" s="167">
        <v>9874</v>
      </c>
      <c r="K42" s="167">
        <f t="shared" si="2"/>
        <v>5359</v>
      </c>
      <c r="L42" s="167">
        <f t="shared" si="3"/>
        <v>9874</v>
      </c>
      <c r="M42" s="248">
        <f>NPA_PS_14!N42</f>
        <v>15765</v>
      </c>
      <c r="N42" s="248">
        <f t="shared" si="0"/>
        <v>25639</v>
      </c>
      <c r="O42" s="249">
        <f>NPA_13!D42</f>
        <v>25639</v>
      </c>
      <c r="P42" s="248">
        <f t="shared" si="1"/>
        <v>0</v>
      </c>
      <c r="Q42" s="248"/>
      <c r="R42" s="248"/>
    </row>
    <row r="43" spans="1:18" ht="15" customHeight="1">
      <c r="A43" s="129">
        <v>37</v>
      </c>
      <c r="B43" s="147" t="s">
        <v>72</v>
      </c>
      <c r="C43" s="167">
        <v>3</v>
      </c>
      <c r="D43" s="167">
        <v>959</v>
      </c>
      <c r="E43" s="167">
        <v>122</v>
      </c>
      <c r="F43" s="167">
        <v>1096</v>
      </c>
      <c r="G43" s="167">
        <v>0</v>
      </c>
      <c r="H43" s="167">
        <v>0</v>
      </c>
      <c r="I43" s="167">
        <v>11189</v>
      </c>
      <c r="J43" s="167">
        <v>8790</v>
      </c>
      <c r="K43" s="167">
        <f t="shared" si="2"/>
        <v>11314</v>
      </c>
      <c r="L43" s="167">
        <f t="shared" si="3"/>
        <v>10845</v>
      </c>
      <c r="M43" s="248">
        <f>NPA_PS_14!N43</f>
        <v>11562</v>
      </c>
      <c r="N43" s="248">
        <f t="shared" si="0"/>
        <v>22407</v>
      </c>
      <c r="O43" s="249">
        <f>NPA_13!D43</f>
        <v>22407</v>
      </c>
      <c r="P43" s="248">
        <f t="shared" si="1"/>
        <v>0</v>
      </c>
      <c r="Q43" s="248"/>
      <c r="R43" s="248"/>
    </row>
    <row r="44" spans="1:18" ht="15" customHeight="1">
      <c r="A44" s="129">
        <v>38</v>
      </c>
      <c r="B44" s="147" t="s">
        <v>219</v>
      </c>
      <c r="C44" s="167">
        <v>0</v>
      </c>
      <c r="D44" s="167">
        <v>0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f t="shared" si="2"/>
        <v>0</v>
      </c>
      <c r="L44" s="167">
        <f t="shared" si="3"/>
        <v>0</v>
      </c>
      <c r="M44" s="248">
        <f>NPA_PS_14!N44</f>
        <v>258</v>
      </c>
      <c r="N44" s="248">
        <f t="shared" si="0"/>
        <v>258</v>
      </c>
      <c r="O44" s="249">
        <f>NPA_13!D44</f>
        <v>258</v>
      </c>
      <c r="P44" s="248">
        <f t="shared" si="1"/>
        <v>0</v>
      </c>
      <c r="Q44" s="248"/>
      <c r="R44" s="248"/>
    </row>
    <row r="45" spans="1:18" ht="15" customHeight="1">
      <c r="A45" s="129">
        <v>39</v>
      </c>
      <c r="B45" s="147" t="s">
        <v>220</v>
      </c>
      <c r="C45" s="167">
        <v>0</v>
      </c>
      <c r="D45" s="167">
        <v>0</v>
      </c>
      <c r="E45" s="167">
        <v>0</v>
      </c>
      <c r="F45" s="167">
        <v>0</v>
      </c>
      <c r="G45" s="167">
        <v>0</v>
      </c>
      <c r="H45" s="167">
        <v>0</v>
      </c>
      <c r="I45" s="167">
        <v>2950</v>
      </c>
      <c r="J45" s="167">
        <v>887.22</v>
      </c>
      <c r="K45" s="167">
        <f t="shared" si="2"/>
        <v>2950</v>
      </c>
      <c r="L45" s="167">
        <f t="shared" si="3"/>
        <v>887.22</v>
      </c>
      <c r="M45" s="248">
        <f>NPA_PS_14!N45</f>
        <v>1346.19</v>
      </c>
      <c r="N45" s="248">
        <f t="shared" si="0"/>
        <v>2233.41</v>
      </c>
      <c r="O45" s="249">
        <f>NPA_13!D45</f>
        <v>2233.41</v>
      </c>
      <c r="P45" s="248">
        <f t="shared" si="1"/>
        <v>0</v>
      </c>
      <c r="Q45" s="248"/>
      <c r="R45" s="248"/>
    </row>
    <row r="46" spans="1:18" ht="15" customHeight="1">
      <c r="A46" s="129">
        <v>40</v>
      </c>
      <c r="B46" s="147" t="s">
        <v>221</v>
      </c>
      <c r="C46" s="167">
        <v>33</v>
      </c>
      <c r="D46" s="167">
        <v>82</v>
      </c>
      <c r="E46" s="167">
        <v>0</v>
      </c>
      <c r="F46" s="167">
        <v>0</v>
      </c>
      <c r="G46" s="167">
        <v>0</v>
      </c>
      <c r="H46" s="167">
        <v>0</v>
      </c>
      <c r="I46" s="167">
        <v>28</v>
      </c>
      <c r="J46" s="167">
        <v>36</v>
      </c>
      <c r="K46" s="167">
        <f t="shared" si="2"/>
        <v>61</v>
      </c>
      <c r="L46" s="167">
        <f t="shared" si="3"/>
        <v>118</v>
      </c>
      <c r="M46" s="248">
        <f>NPA_PS_14!N46</f>
        <v>317</v>
      </c>
      <c r="N46" s="248">
        <f t="shared" si="0"/>
        <v>435</v>
      </c>
      <c r="O46" s="249">
        <f>NPA_13!D46</f>
        <v>435</v>
      </c>
      <c r="P46" s="248">
        <f t="shared" si="1"/>
        <v>0</v>
      </c>
      <c r="Q46" s="248"/>
      <c r="R46" s="248"/>
    </row>
    <row r="47" spans="1:18" ht="15" customHeight="1">
      <c r="A47" s="129">
        <v>41</v>
      </c>
      <c r="B47" s="147" t="s">
        <v>222</v>
      </c>
      <c r="C47" s="167">
        <v>2</v>
      </c>
      <c r="D47" s="167">
        <v>378</v>
      </c>
      <c r="E47" s="167">
        <v>0</v>
      </c>
      <c r="F47" s="167">
        <v>0</v>
      </c>
      <c r="G47" s="167">
        <v>0</v>
      </c>
      <c r="H47" s="167">
        <v>0</v>
      </c>
      <c r="I47" s="167">
        <v>18</v>
      </c>
      <c r="J47" s="167">
        <v>33</v>
      </c>
      <c r="K47" s="167">
        <f t="shared" si="2"/>
        <v>20</v>
      </c>
      <c r="L47" s="167">
        <f t="shared" si="3"/>
        <v>411</v>
      </c>
      <c r="M47" s="248">
        <f>NPA_PS_14!N47</f>
        <v>833</v>
      </c>
      <c r="N47" s="248">
        <f t="shared" si="0"/>
        <v>1244</v>
      </c>
      <c r="O47" s="249">
        <f>NPA_13!D47</f>
        <v>1244.28</v>
      </c>
      <c r="P47" s="248">
        <f t="shared" si="1"/>
        <v>-0.27999999999997272</v>
      </c>
      <c r="Q47" s="248"/>
      <c r="R47" s="248"/>
    </row>
    <row r="48" spans="1:18" ht="15" customHeight="1">
      <c r="A48" s="129">
        <v>42</v>
      </c>
      <c r="B48" s="152" t="s">
        <v>223</v>
      </c>
      <c r="C48" s="167">
        <v>0</v>
      </c>
      <c r="D48" s="167">
        <v>0</v>
      </c>
      <c r="E48" s="167">
        <v>0</v>
      </c>
      <c r="F48" s="167">
        <v>0</v>
      </c>
      <c r="G48" s="167">
        <v>0</v>
      </c>
      <c r="H48" s="167">
        <v>0</v>
      </c>
      <c r="I48" s="167">
        <v>0</v>
      </c>
      <c r="J48" s="167">
        <v>0</v>
      </c>
      <c r="K48" s="167">
        <f t="shared" si="2"/>
        <v>0</v>
      </c>
      <c r="L48" s="167">
        <f t="shared" si="3"/>
        <v>0</v>
      </c>
      <c r="M48" s="248">
        <f>NPA_PS_14!N48</f>
        <v>0</v>
      </c>
      <c r="N48" s="248">
        <f t="shared" si="0"/>
        <v>0</v>
      </c>
      <c r="O48" s="249">
        <f>NPA_13!D48</f>
        <v>0</v>
      </c>
      <c r="P48" s="248">
        <f t="shared" si="1"/>
        <v>0</v>
      </c>
      <c r="Q48" s="248"/>
      <c r="R48" s="248"/>
    </row>
    <row r="49" spans="1:18" ht="15" customHeight="1">
      <c r="A49" s="129">
        <v>43</v>
      </c>
      <c r="B49" s="147" t="s">
        <v>73</v>
      </c>
      <c r="C49" s="167">
        <v>0</v>
      </c>
      <c r="D49" s="167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160</v>
      </c>
      <c r="J49" s="167">
        <v>188</v>
      </c>
      <c r="K49" s="167">
        <f t="shared" si="2"/>
        <v>160</v>
      </c>
      <c r="L49" s="167">
        <f t="shared" si="3"/>
        <v>188</v>
      </c>
      <c r="M49" s="248">
        <f>NPA_PS_14!N49</f>
        <v>4158</v>
      </c>
      <c r="N49" s="248">
        <f t="shared" si="0"/>
        <v>4346</v>
      </c>
      <c r="O49" s="249">
        <f>NPA_13!D49</f>
        <v>4346</v>
      </c>
      <c r="P49" s="248">
        <f t="shared" si="1"/>
        <v>0</v>
      </c>
      <c r="Q49" s="248"/>
      <c r="R49" s="248"/>
    </row>
    <row r="50" spans="1:18" ht="15" customHeight="1">
      <c r="A50" s="129">
        <v>44</v>
      </c>
      <c r="B50" s="147" t="s">
        <v>224</v>
      </c>
      <c r="C50" s="167">
        <v>0</v>
      </c>
      <c r="D50" s="167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4</v>
      </c>
      <c r="J50" s="167">
        <v>22</v>
      </c>
      <c r="K50" s="167">
        <f t="shared" si="2"/>
        <v>4</v>
      </c>
      <c r="L50" s="167">
        <f t="shared" si="3"/>
        <v>22</v>
      </c>
      <c r="M50" s="248">
        <f>NPA_PS_14!N50</f>
        <v>14.4</v>
      </c>
      <c r="N50" s="248">
        <f t="shared" si="0"/>
        <v>36.4</v>
      </c>
      <c r="O50" s="249">
        <f>NPA_13!D50</f>
        <v>36</v>
      </c>
      <c r="P50" s="248">
        <f t="shared" si="1"/>
        <v>0.39999999999999858</v>
      </c>
      <c r="Q50" s="248"/>
      <c r="R50" s="248"/>
    </row>
    <row r="51" spans="1:18" ht="15" customHeight="1">
      <c r="A51" s="129">
        <v>45</v>
      </c>
      <c r="B51" s="147" t="s">
        <v>225</v>
      </c>
      <c r="C51" s="167">
        <v>0</v>
      </c>
      <c r="D51" s="167">
        <v>0</v>
      </c>
      <c r="E51" s="167">
        <v>0</v>
      </c>
      <c r="F51" s="167">
        <v>0</v>
      </c>
      <c r="G51" s="167">
        <v>0</v>
      </c>
      <c r="H51" s="167">
        <v>0</v>
      </c>
      <c r="I51" s="167">
        <v>27</v>
      </c>
      <c r="J51" s="167">
        <v>33</v>
      </c>
      <c r="K51" s="167">
        <f t="shared" si="2"/>
        <v>27</v>
      </c>
      <c r="L51" s="167">
        <f t="shared" si="3"/>
        <v>33</v>
      </c>
      <c r="M51" s="248">
        <f>NPA_PS_14!N51</f>
        <v>1252.5999999999999</v>
      </c>
      <c r="N51" s="248">
        <f t="shared" si="0"/>
        <v>1285.5999999999999</v>
      </c>
      <c r="O51" s="249">
        <f>NPA_13!D51</f>
        <v>1285.5999999999999</v>
      </c>
      <c r="P51" s="248">
        <f t="shared" si="1"/>
        <v>0</v>
      </c>
      <c r="Q51" s="248"/>
      <c r="R51" s="248"/>
    </row>
    <row r="52" spans="1:18" ht="15" customHeight="1">
      <c r="A52" s="129">
        <v>46</v>
      </c>
      <c r="B52" s="147" t="s">
        <v>226</v>
      </c>
      <c r="C52" s="167">
        <v>0</v>
      </c>
      <c r="D52" s="167">
        <v>0</v>
      </c>
      <c r="E52" s="167">
        <v>0</v>
      </c>
      <c r="F52" s="167">
        <v>0</v>
      </c>
      <c r="G52" s="167">
        <v>0</v>
      </c>
      <c r="H52" s="167">
        <v>0</v>
      </c>
      <c r="I52" s="167">
        <v>0</v>
      </c>
      <c r="J52" s="167">
        <v>0</v>
      </c>
      <c r="K52" s="167">
        <f t="shared" si="2"/>
        <v>0</v>
      </c>
      <c r="L52" s="167">
        <f t="shared" si="3"/>
        <v>0</v>
      </c>
      <c r="M52" s="248">
        <f>NPA_PS_14!N52</f>
        <v>0</v>
      </c>
      <c r="N52" s="248">
        <f t="shared" si="0"/>
        <v>0</v>
      </c>
      <c r="O52" s="249">
        <f>NPA_13!D52</f>
        <v>0</v>
      </c>
      <c r="P52" s="248">
        <f t="shared" si="1"/>
        <v>0</v>
      </c>
      <c r="Q52" s="248"/>
      <c r="R52" s="248"/>
    </row>
    <row r="53" spans="1:18" ht="15" customHeight="1">
      <c r="A53" s="129">
        <v>47</v>
      </c>
      <c r="B53" s="147" t="s">
        <v>77</v>
      </c>
      <c r="C53" s="167">
        <v>0</v>
      </c>
      <c r="D53" s="167">
        <v>0</v>
      </c>
      <c r="E53" s="167">
        <v>0</v>
      </c>
      <c r="F53" s="167">
        <v>0</v>
      </c>
      <c r="G53" s="167">
        <v>0</v>
      </c>
      <c r="H53" s="167">
        <v>0</v>
      </c>
      <c r="I53" s="167">
        <v>0</v>
      </c>
      <c r="J53" s="167">
        <v>0</v>
      </c>
      <c r="K53" s="167">
        <f t="shared" si="2"/>
        <v>0</v>
      </c>
      <c r="L53" s="167">
        <f t="shared" si="3"/>
        <v>0</v>
      </c>
      <c r="M53" s="248">
        <f>NPA_PS_14!N53</f>
        <v>0</v>
      </c>
      <c r="N53" s="248">
        <f t="shared" si="0"/>
        <v>0</v>
      </c>
      <c r="O53" s="249">
        <f>NPA_13!D53</f>
        <v>0</v>
      </c>
      <c r="P53" s="248">
        <f t="shared" si="1"/>
        <v>0</v>
      </c>
      <c r="Q53" s="248"/>
      <c r="R53" s="248"/>
    </row>
    <row r="54" spans="1:18" ht="15" customHeight="1">
      <c r="A54" s="129">
        <v>48</v>
      </c>
      <c r="B54" s="147" t="s">
        <v>227</v>
      </c>
      <c r="C54" s="167">
        <v>0</v>
      </c>
      <c r="D54" s="167">
        <v>0</v>
      </c>
      <c r="E54" s="167">
        <v>0</v>
      </c>
      <c r="F54" s="167">
        <v>0</v>
      </c>
      <c r="G54" s="167">
        <v>0</v>
      </c>
      <c r="H54" s="167">
        <v>0</v>
      </c>
      <c r="I54" s="167">
        <v>0</v>
      </c>
      <c r="J54" s="167">
        <v>0</v>
      </c>
      <c r="K54" s="167">
        <f t="shared" si="2"/>
        <v>0</v>
      </c>
      <c r="L54" s="167">
        <f t="shared" si="3"/>
        <v>0</v>
      </c>
      <c r="M54" s="248">
        <f>NPA_PS_14!N54</f>
        <v>0</v>
      </c>
      <c r="N54" s="248">
        <f t="shared" si="0"/>
        <v>0</v>
      </c>
      <c r="O54" s="249">
        <f>NPA_13!D54</f>
        <v>0</v>
      </c>
      <c r="P54" s="248">
        <f t="shared" si="1"/>
        <v>0</v>
      </c>
      <c r="Q54" s="248"/>
      <c r="R54" s="248"/>
    </row>
    <row r="55" spans="1:18" ht="15" customHeight="1">
      <c r="A55" s="129">
        <v>49</v>
      </c>
      <c r="B55" s="147" t="s">
        <v>76</v>
      </c>
      <c r="C55" s="167">
        <v>0</v>
      </c>
      <c r="D55" s="167">
        <v>0</v>
      </c>
      <c r="E55" s="167">
        <v>0</v>
      </c>
      <c r="F55" s="167">
        <v>0</v>
      </c>
      <c r="G55" s="167">
        <v>0</v>
      </c>
      <c r="H55" s="167">
        <v>0</v>
      </c>
      <c r="I55" s="167">
        <v>11</v>
      </c>
      <c r="J55" s="167">
        <v>4.87</v>
      </c>
      <c r="K55" s="167">
        <f t="shared" si="2"/>
        <v>11</v>
      </c>
      <c r="L55" s="167">
        <f t="shared" si="3"/>
        <v>4.87</v>
      </c>
      <c r="M55" s="248">
        <f>NPA_PS_14!N55</f>
        <v>588.37</v>
      </c>
      <c r="N55" s="248">
        <f t="shared" si="0"/>
        <v>593.24</v>
      </c>
      <c r="O55" s="249">
        <f>NPA_13!D55</f>
        <v>593.24</v>
      </c>
      <c r="P55" s="248">
        <f t="shared" si="1"/>
        <v>0</v>
      </c>
      <c r="Q55" s="248"/>
      <c r="R55" s="248"/>
    </row>
    <row r="56" spans="1:18" s="247" customFormat="1" ht="15" customHeight="1">
      <c r="A56" s="129"/>
      <c r="B56" s="150" t="s">
        <v>287</v>
      </c>
      <c r="C56" s="169">
        <f>SUM(C34:C55)</f>
        <v>39</v>
      </c>
      <c r="D56" s="169">
        <f t="shared" ref="D56:L56" si="7">SUM(D34:D55)</f>
        <v>1495.1</v>
      </c>
      <c r="E56" s="169">
        <f t="shared" si="7"/>
        <v>127</v>
      </c>
      <c r="F56" s="169">
        <f t="shared" si="7"/>
        <v>1297.2</v>
      </c>
      <c r="G56" s="169">
        <f t="shared" si="7"/>
        <v>0</v>
      </c>
      <c r="H56" s="169">
        <f t="shared" si="7"/>
        <v>0</v>
      </c>
      <c r="I56" s="169">
        <f t="shared" si="7"/>
        <v>20702</v>
      </c>
      <c r="J56" s="169">
        <f t="shared" si="7"/>
        <v>30913.39</v>
      </c>
      <c r="K56" s="169">
        <f t="shared" si="7"/>
        <v>20868</v>
      </c>
      <c r="L56" s="169">
        <f t="shared" si="7"/>
        <v>33705.69</v>
      </c>
      <c r="M56" s="248">
        <f>NPA_PS_14!N56</f>
        <v>46017.860000000008</v>
      </c>
      <c r="N56" s="248">
        <f t="shared" si="0"/>
        <v>79723.550000000017</v>
      </c>
      <c r="O56" s="249">
        <f>NPA_13!D56</f>
        <v>79723.530000000013</v>
      </c>
      <c r="P56" s="250">
        <f t="shared" si="1"/>
        <v>2.0000000004074536E-2</v>
      </c>
      <c r="Q56" s="250"/>
      <c r="R56" s="250"/>
    </row>
    <row r="57" spans="1:18" ht="15" customHeight="1">
      <c r="A57" s="129">
        <v>50</v>
      </c>
      <c r="B57" s="147" t="s">
        <v>46</v>
      </c>
      <c r="C57" s="167">
        <v>0</v>
      </c>
      <c r="D57" s="167">
        <v>0</v>
      </c>
      <c r="E57" s="167">
        <v>24</v>
      </c>
      <c r="F57" s="167">
        <v>37.47</v>
      </c>
      <c r="G57" s="167">
        <v>0</v>
      </c>
      <c r="H57" s="167">
        <v>0</v>
      </c>
      <c r="I57" s="167">
        <v>6251</v>
      </c>
      <c r="J57" s="167">
        <v>2869.37</v>
      </c>
      <c r="K57" s="167">
        <f t="shared" si="2"/>
        <v>6275</v>
      </c>
      <c r="L57" s="167">
        <f t="shared" si="3"/>
        <v>2906.8399999999997</v>
      </c>
      <c r="M57" s="248">
        <f>NPA_PS_14!N57</f>
        <v>42460.939999999995</v>
      </c>
      <c r="N57" s="248">
        <f t="shared" si="0"/>
        <v>45367.779999999992</v>
      </c>
      <c r="O57" s="249">
        <f>NPA_13!D57</f>
        <v>45367.78</v>
      </c>
      <c r="P57" s="248">
        <f t="shared" si="1"/>
        <v>0</v>
      </c>
      <c r="Q57" s="248"/>
      <c r="R57" s="248"/>
    </row>
    <row r="58" spans="1:18" ht="15" customHeight="1">
      <c r="A58" s="129">
        <v>51</v>
      </c>
      <c r="B58" s="130" t="s">
        <v>228</v>
      </c>
      <c r="C58" s="167">
        <v>0</v>
      </c>
      <c r="D58" s="167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1953</v>
      </c>
      <c r="J58" s="167">
        <v>1052</v>
      </c>
      <c r="K58" s="167">
        <f t="shared" si="2"/>
        <v>1953</v>
      </c>
      <c r="L58" s="167">
        <f t="shared" si="3"/>
        <v>1052</v>
      </c>
      <c r="M58" s="248">
        <f>NPA_PS_14!N58</f>
        <v>51228</v>
      </c>
      <c r="N58" s="248">
        <f t="shared" si="0"/>
        <v>52280</v>
      </c>
      <c r="O58" s="249">
        <f>NPA_13!D58</f>
        <v>52280</v>
      </c>
      <c r="P58" s="248">
        <f t="shared" si="1"/>
        <v>0</v>
      </c>
      <c r="Q58" s="248"/>
      <c r="R58" s="248"/>
    </row>
    <row r="59" spans="1:18" ht="13.5">
      <c r="A59" s="129">
        <v>52</v>
      </c>
      <c r="B59" s="167" t="s">
        <v>52</v>
      </c>
      <c r="C59" s="167">
        <v>0</v>
      </c>
      <c r="D59" s="167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208</v>
      </c>
      <c r="J59" s="167">
        <v>480.46</v>
      </c>
      <c r="K59" s="167">
        <f t="shared" si="2"/>
        <v>208</v>
      </c>
      <c r="L59" s="167">
        <f t="shared" si="3"/>
        <v>480.46</v>
      </c>
      <c r="M59" s="248">
        <f>NPA_PS_14!N59</f>
        <v>18917.550000000003</v>
      </c>
      <c r="N59" s="248">
        <f t="shared" ref="N59:N63" si="8">L59+M59</f>
        <v>19398.010000000002</v>
      </c>
      <c r="O59" s="249">
        <f>NPA_13!D59</f>
        <v>19398.009999999998</v>
      </c>
      <c r="P59" s="248">
        <f t="shared" ref="P59:P63" si="9">N59-O59</f>
        <v>0</v>
      </c>
      <c r="Q59" s="248"/>
      <c r="R59" s="248"/>
    </row>
    <row r="60" spans="1:18" s="247" customFormat="1" ht="13.5">
      <c r="A60" s="129"/>
      <c r="B60" s="169" t="s">
        <v>296</v>
      </c>
      <c r="C60" s="169">
        <f>SUM(C57:C59)</f>
        <v>0</v>
      </c>
      <c r="D60" s="169">
        <f t="shared" ref="D60:L60" si="10">SUM(D57:D59)</f>
        <v>0</v>
      </c>
      <c r="E60" s="169">
        <f t="shared" si="10"/>
        <v>24</v>
      </c>
      <c r="F60" s="169">
        <f t="shared" si="10"/>
        <v>37.47</v>
      </c>
      <c r="G60" s="169">
        <f t="shared" si="10"/>
        <v>0</v>
      </c>
      <c r="H60" s="169">
        <f t="shared" si="10"/>
        <v>0</v>
      </c>
      <c r="I60" s="169">
        <f t="shared" si="10"/>
        <v>8412</v>
      </c>
      <c r="J60" s="169">
        <f t="shared" si="10"/>
        <v>4401.83</v>
      </c>
      <c r="K60" s="169">
        <f t="shared" si="10"/>
        <v>8436</v>
      </c>
      <c r="L60" s="169">
        <f t="shared" si="10"/>
        <v>4439.2999999999993</v>
      </c>
      <c r="M60" s="248">
        <f>NPA_PS_14!N60</f>
        <v>112606.49</v>
      </c>
      <c r="N60" s="248">
        <f t="shared" si="8"/>
        <v>117045.79000000001</v>
      </c>
      <c r="O60" s="249">
        <f>NPA_13!D60</f>
        <v>117045.79</v>
      </c>
      <c r="P60" s="248">
        <f t="shared" si="9"/>
        <v>0</v>
      </c>
      <c r="Q60" s="250"/>
      <c r="R60" s="250"/>
    </row>
    <row r="61" spans="1:18" ht="13.5">
      <c r="A61" s="129">
        <v>53</v>
      </c>
      <c r="B61" s="167" t="s">
        <v>288</v>
      </c>
      <c r="C61" s="167">
        <v>0</v>
      </c>
      <c r="D61" s="167">
        <v>0</v>
      </c>
      <c r="E61" s="167">
        <v>0</v>
      </c>
      <c r="F61" s="167">
        <v>0</v>
      </c>
      <c r="G61" s="167">
        <v>0</v>
      </c>
      <c r="H61" s="167">
        <v>0</v>
      </c>
      <c r="I61" s="167">
        <v>0</v>
      </c>
      <c r="J61" s="167">
        <v>0</v>
      </c>
      <c r="K61" s="167">
        <f t="shared" si="2"/>
        <v>0</v>
      </c>
      <c r="L61" s="167">
        <f t="shared" si="3"/>
        <v>0</v>
      </c>
      <c r="M61" s="248">
        <f>NPA_PS_14!N61</f>
        <v>363643.56</v>
      </c>
      <c r="N61" s="248">
        <f t="shared" si="8"/>
        <v>363643.56</v>
      </c>
      <c r="O61" s="249">
        <f>NPA_13!D61</f>
        <v>363644</v>
      </c>
      <c r="P61" s="248">
        <f t="shared" si="9"/>
        <v>-0.44000000000232831</v>
      </c>
      <c r="Q61" s="248"/>
      <c r="R61" s="248"/>
    </row>
    <row r="62" spans="1:18" s="247" customFormat="1" ht="15" customHeight="1">
      <c r="A62" s="129"/>
      <c r="B62" s="169" t="s">
        <v>289</v>
      </c>
      <c r="C62" s="169">
        <f>C61</f>
        <v>0</v>
      </c>
      <c r="D62" s="169">
        <f t="shared" ref="D62:L62" si="11">D61</f>
        <v>0</v>
      </c>
      <c r="E62" s="169">
        <f t="shared" si="11"/>
        <v>0</v>
      </c>
      <c r="F62" s="169">
        <f t="shared" si="11"/>
        <v>0</v>
      </c>
      <c r="G62" s="169">
        <f t="shared" si="11"/>
        <v>0</v>
      </c>
      <c r="H62" s="169">
        <f t="shared" si="11"/>
        <v>0</v>
      </c>
      <c r="I62" s="169">
        <f t="shared" si="11"/>
        <v>0</v>
      </c>
      <c r="J62" s="169">
        <f t="shared" si="11"/>
        <v>0</v>
      </c>
      <c r="K62" s="169">
        <f t="shared" si="11"/>
        <v>0</v>
      </c>
      <c r="L62" s="169">
        <f t="shared" si="11"/>
        <v>0</v>
      </c>
      <c r="M62" s="248">
        <f>NPA_PS_14!N62</f>
        <v>363643.56</v>
      </c>
      <c r="N62" s="248">
        <f t="shared" si="8"/>
        <v>363643.56</v>
      </c>
      <c r="O62" s="249">
        <f>NPA_13!D62</f>
        <v>363644</v>
      </c>
      <c r="P62" s="248">
        <f t="shared" si="9"/>
        <v>-0.44000000000232831</v>
      </c>
      <c r="Q62" s="250"/>
      <c r="R62" s="250"/>
    </row>
    <row r="63" spans="1:18" s="248" customFormat="1" ht="15" customHeight="1">
      <c r="A63" s="167"/>
      <c r="B63" s="165" t="s">
        <v>290</v>
      </c>
      <c r="C63" s="169">
        <f>C62+C60+C56+C33</f>
        <v>4002</v>
      </c>
      <c r="D63" s="169">
        <f t="shared" ref="D63:L63" si="12">D62+D60+D56+D33</f>
        <v>115263.66000000002</v>
      </c>
      <c r="E63" s="169">
        <f t="shared" si="12"/>
        <v>555</v>
      </c>
      <c r="F63" s="169">
        <f t="shared" si="12"/>
        <v>28979.449999999997</v>
      </c>
      <c r="G63" s="169">
        <f t="shared" si="12"/>
        <v>41</v>
      </c>
      <c r="H63" s="169">
        <f t="shared" si="12"/>
        <v>544.34</v>
      </c>
      <c r="I63" s="169">
        <f t="shared" si="12"/>
        <v>51346</v>
      </c>
      <c r="J63" s="169">
        <f t="shared" si="12"/>
        <v>315314.80999999994</v>
      </c>
      <c r="K63" s="169">
        <f t="shared" si="12"/>
        <v>55944</v>
      </c>
      <c r="L63" s="169">
        <f t="shared" si="12"/>
        <v>460102.26</v>
      </c>
      <c r="M63" s="248">
        <f>NPA_PS_14!N63</f>
        <v>1184414.52</v>
      </c>
      <c r="N63" s="248">
        <f t="shared" si="8"/>
        <v>1644516.78</v>
      </c>
      <c r="O63" s="249">
        <f>NPA_13!D63</f>
        <v>1644517.48</v>
      </c>
      <c r="P63" s="248">
        <f t="shared" si="9"/>
        <v>-0.69999999995343387</v>
      </c>
    </row>
    <row r="64" spans="1:18">
      <c r="C64" s="336" t="s">
        <v>775</v>
      </c>
    </row>
    <row r="65" spans="3:12" hidden="1">
      <c r="C65" s="5">
        <v>5983</v>
      </c>
      <c r="D65" s="5">
        <v>77037.070000000007</v>
      </c>
      <c r="E65" s="5">
        <v>1319</v>
      </c>
      <c r="F65" s="5">
        <v>6803.06</v>
      </c>
      <c r="G65" s="5">
        <v>2121</v>
      </c>
      <c r="H65" s="5">
        <v>5691</v>
      </c>
      <c r="I65" s="5">
        <v>29659</v>
      </c>
      <c r="J65" s="5">
        <v>177190.69999999995</v>
      </c>
      <c r="K65" s="5">
        <v>39082</v>
      </c>
      <c r="L65" s="5">
        <v>266721.83</v>
      </c>
    </row>
    <row r="66" spans="3:12" hidden="1"/>
    <row r="67" spans="3:12" hidden="1">
      <c r="D67" s="5">
        <f t="shared" ref="D67:L67" si="13">D63-D65</f>
        <v>38226.590000000011</v>
      </c>
      <c r="F67" s="5">
        <f t="shared" si="13"/>
        <v>22176.389999999996</v>
      </c>
      <c r="H67" s="5">
        <f t="shared" si="13"/>
        <v>-5146.66</v>
      </c>
      <c r="J67" s="5">
        <f t="shared" si="13"/>
        <v>138124.10999999999</v>
      </c>
      <c r="K67" s="5">
        <f t="shared" si="13"/>
        <v>16862</v>
      </c>
      <c r="L67" s="5">
        <f t="shared" si="13"/>
        <v>193380.43</v>
      </c>
    </row>
    <row r="68" spans="3:12" hidden="1"/>
    <row r="69" spans="3:12" hidden="1"/>
  </sheetData>
  <mergeCells count="10">
    <mergeCell ref="A1:L1"/>
    <mergeCell ref="A2:L2"/>
    <mergeCell ref="K4:L4"/>
    <mergeCell ref="E4:F4"/>
    <mergeCell ref="G4:H4"/>
    <mergeCell ref="I4:J4"/>
    <mergeCell ref="I3:J3"/>
    <mergeCell ref="A4:A5"/>
    <mergeCell ref="B4:B5"/>
    <mergeCell ref="C4:D4"/>
  </mergeCells>
  <conditionalFormatting sqref="I3">
    <cfRule type="cellIs" dxfId="82" priority="7" operator="lessThan">
      <formula>0</formula>
    </cfRule>
  </conditionalFormatting>
  <conditionalFormatting sqref="B21">
    <cfRule type="duplicateValues" dxfId="81" priority="2"/>
  </conditionalFormatting>
  <conditionalFormatting sqref="B32:B33 B25:B29">
    <cfRule type="duplicateValues" dxfId="80" priority="3"/>
  </conditionalFormatting>
  <conditionalFormatting sqref="B51">
    <cfRule type="duplicateValues" dxfId="79" priority="4"/>
  </conditionalFormatting>
  <conditionalFormatting sqref="B55">
    <cfRule type="duplicateValues" dxfId="78" priority="5"/>
  </conditionalFormatting>
  <conditionalFormatting sqref="B57">
    <cfRule type="duplicateValues" dxfId="77" priority="6"/>
  </conditionalFormatting>
  <pageMargins left="0.7" right="0.45" top="0.25" bottom="0.25" header="0.3" footer="0.3"/>
  <pageSetup scale="7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X70"/>
  <sheetViews>
    <sheetView zoomScale="106" zoomScaleNormal="106" workbookViewId="0">
      <pane xSplit="2" ySplit="5" topLeftCell="H51" activePane="bottomRight" state="frozen"/>
      <selection pane="topRight" activeCell="C1" sqref="C1"/>
      <selection pane="bottomLeft" activeCell="A6" sqref="A6"/>
      <selection pane="bottomRight" activeCell="S68" sqref="S68"/>
    </sheetView>
  </sheetViews>
  <sheetFormatPr defaultRowHeight="12.75"/>
  <cols>
    <col min="1" max="1" width="4.28515625" style="4" customWidth="1"/>
    <col min="2" max="2" width="24.42578125" style="4" bestFit="1" customWidth="1"/>
    <col min="3" max="3" width="8" style="5" bestFit="1" customWidth="1"/>
    <col min="4" max="4" width="8.42578125" style="5" bestFit="1" customWidth="1"/>
    <col min="5" max="5" width="8.28515625" style="5" customWidth="1"/>
    <col min="6" max="6" width="10.42578125" style="5" bestFit="1" customWidth="1"/>
    <col min="7" max="7" width="8" style="28" bestFit="1" customWidth="1"/>
    <col min="8" max="8" width="7.7109375" style="5" bestFit="1" customWidth="1"/>
    <col min="9" max="9" width="8" style="5" bestFit="1" customWidth="1"/>
    <col min="10" max="10" width="8.42578125" style="5" bestFit="1" customWidth="1"/>
    <col min="11" max="11" width="9" style="5" bestFit="1" customWidth="1"/>
    <col min="12" max="12" width="8" style="28" bestFit="1" customWidth="1"/>
    <col min="13" max="14" width="9" style="5" bestFit="1" customWidth="1"/>
    <col min="15" max="16" width="10.42578125" style="5" bestFit="1" customWidth="1"/>
    <col min="17" max="17" width="8" style="28" bestFit="1" customWidth="1"/>
    <col min="18" max="18" width="8.7109375" style="5" bestFit="1" customWidth="1"/>
    <col min="19" max="19" width="8" style="5" bestFit="1" customWidth="1"/>
    <col min="20" max="20" width="8.7109375" style="5" bestFit="1" customWidth="1"/>
    <col min="21" max="21" width="9.140625" style="5" bestFit="1" customWidth="1"/>
    <col min="22" max="22" width="8" style="28" bestFit="1" customWidth="1"/>
    <col min="23" max="16384" width="9.140625" style="4"/>
  </cols>
  <sheetData>
    <row r="1" spans="1:24" ht="18.75" customHeight="1">
      <c r="A1" s="652" t="s">
        <v>765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</row>
    <row r="2" spans="1:24" ht="15.75">
      <c r="A2" s="653" t="s">
        <v>31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653"/>
      <c r="Q2" s="653"/>
      <c r="R2" s="653"/>
      <c r="S2" s="653"/>
      <c r="T2" s="653"/>
      <c r="U2" s="653"/>
      <c r="V2" s="653"/>
    </row>
    <row r="3" spans="1:24" ht="14.25">
      <c r="A3" s="128"/>
      <c r="B3" s="2" t="s">
        <v>12</v>
      </c>
      <c r="C3" s="135"/>
      <c r="D3" s="26"/>
      <c r="E3" s="26"/>
      <c r="F3" s="26"/>
      <c r="G3" s="30"/>
      <c r="H3" s="26"/>
      <c r="I3" s="26"/>
      <c r="J3" s="636"/>
      <c r="K3" s="636"/>
      <c r="L3" s="522"/>
      <c r="M3" s="135"/>
      <c r="N3" s="640" t="s">
        <v>172</v>
      </c>
      <c r="O3" s="640"/>
      <c r="P3" s="174"/>
    </row>
    <row r="4" spans="1:24" ht="39.950000000000003" customHeight="1">
      <c r="A4" s="654" t="s">
        <v>2</v>
      </c>
      <c r="B4" s="654" t="s">
        <v>3</v>
      </c>
      <c r="C4" s="580" t="s">
        <v>113</v>
      </c>
      <c r="D4" s="579"/>
      <c r="E4" s="580" t="s">
        <v>42</v>
      </c>
      <c r="F4" s="579"/>
      <c r="G4" s="660" t="s">
        <v>118</v>
      </c>
      <c r="H4" s="580" t="s">
        <v>114</v>
      </c>
      <c r="I4" s="579"/>
      <c r="J4" s="580" t="s">
        <v>41</v>
      </c>
      <c r="K4" s="579"/>
      <c r="L4" s="660" t="s">
        <v>118</v>
      </c>
      <c r="M4" s="580" t="s">
        <v>115</v>
      </c>
      <c r="N4" s="579"/>
      <c r="O4" s="580" t="s">
        <v>40</v>
      </c>
      <c r="P4" s="578"/>
      <c r="Q4" s="658" t="s">
        <v>97</v>
      </c>
      <c r="R4" s="580" t="s">
        <v>173</v>
      </c>
      <c r="S4" s="579"/>
      <c r="T4" s="580" t="s">
        <v>778</v>
      </c>
      <c r="U4" s="578"/>
      <c r="V4" s="658" t="s">
        <v>97</v>
      </c>
    </row>
    <row r="5" spans="1:24">
      <c r="A5" s="655"/>
      <c r="B5" s="655"/>
      <c r="C5" s="523" t="s">
        <v>22</v>
      </c>
      <c r="D5" s="523" t="s">
        <v>23</v>
      </c>
      <c r="E5" s="523" t="s">
        <v>22</v>
      </c>
      <c r="F5" s="523" t="s">
        <v>23</v>
      </c>
      <c r="G5" s="661"/>
      <c r="H5" s="523" t="s">
        <v>22</v>
      </c>
      <c r="I5" s="523" t="s">
        <v>23</v>
      </c>
      <c r="J5" s="523" t="s">
        <v>22</v>
      </c>
      <c r="K5" s="523" t="s">
        <v>23</v>
      </c>
      <c r="L5" s="661"/>
      <c r="M5" s="523" t="s">
        <v>22</v>
      </c>
      <c r="N5" s="523" t="s">
        <v>23</v>
      </c>
      <c r="O5" s="523" t="s">
        <v>22</v>
      </c>
      <c r="P5" s="524" t="s">
        <v>23</v>
      </c>
      <c r="Q5" s="659"/>
      <c r="R5" s="523" t="s">
        <v>22</v>
      </c>
      <c r="S5" s="523" t="s">
        <v>23</v>
      </c>
      <c r="T5" s="523" t="s">
        <v>22</v>
      </c>
      <c r="U5" s="524" t="s">
        <v>23</v>
      </c>
      <c r="V5" s="659"/>
    </row>
    <row r="6" spans="1:24" ht="15" customHeight="1">
      <c r="A6" s="57">
        <v>1</v>
      </c>
      <c r="B6" s="58" t="s">
        <v>55</v>
      </c>
      <c r="C6" s="167">
        <v>117</v>
      </c>
      <c r="D6" s="167">
        <v>380</v>
      </c>
      <c r="E6" s="167">
        <v>4411</v>
      </c>
      <c r="F6" s="167">
        <v>18848</v>
      </c>
      <c r="G6" s="259">
        <f>D6*100/F6</f>
        <v>2.0161290322580645</v>
      </c>
      <c r="H6" s="167">
        <v>661</v>
      </c>
      <c r="I6" s="167">
        <v>865</v>
      </c>
      <c r="J6" s="167">
        <v>1663</v>
      </c>
      <c r="K6" s="167">
        <v>9756</v>
      </c>
      <c r="L6" s="259">
        <f>I6*100/K6</f>
        <v>8.8663386633866335</v>
      </c>
      <c r="M6" s="167">
        <v>218</v>
      </c>
      <c r="N6" s="167">
        <v>191</v>
      </c>
      <c r="O6" s="167">
        <v>11119</v>
      </c>
      <c r="P6" s="167">
        <v>9416</v>
      </c>
      <c r="Q6" s="259">
        <f>N6*100/P6</f>
        <v>2.0284621920135937</v>
      </c>
      <c r="R6" s="167">
        <v>269</v>
      </c>
      <c r="S6" s="167">
        <v>297</v>
      </c>
      <c r="T6" s="167">
        <v>1593</v>
      </c>
      <c r="U6" s="167">
        <v>952</v>
      </c>
      <c r="V6" s="259">
        <f>S6*100/U6</f>
        <v>31.19747899159664</v>
      </c>
      <c r="W6" s="657"/>
      <c r="X6" s="657"/>
    </row>
    <row r="7" spans="1:24" ht="15" customHeight="1">
      <c r="A7" s="57">
        <v>2</v>
      </c>
      <c r="B7" s="58" t="s">
        <v>56</v>
      </c>
      <c r="C7" s="167">
        <v>83</v>
      </c>
      <c r="D7" s="167">
        <v>102.35</v>
      </c>
      <c r="E7" s="167">
        <v>557</v>
      </c>
      <c r="F7" s="167">
        <v>682.21</v>
      </c>
      <c r="G7" s="259">
        <f t="shared" ref="G7:G63" si="0">D7*100/F7</f>
        <v>15.002711774966652</v>
      </c>
      <c r="H7" s="167">
        <v>9</v>
      </c>
      <c r="I7" s="167">
        <v>15.33</v>
      </c>
      <c r="J7" s="167">
        <v>35</v>
      </c>
      <c r="K7" s="167">
        <v>189.74</v>
      </c>
      <c r="L7" s="259">
        <f t="shared" ref="L7:L63" si="1">I7*100/K7</f>
        <v>8.0794771792979869</v>
      </c>
      <c r="M7" s="167">
        <v>0</v>
      </c>
      <c r="N7" s="167">
        <v>0</v>
      </c>
      <c r="O7" s="167">
        <v>0</v>
      </c>
      <c r="P7" s="167">
        <v>0</v>
      </c>
      <c r="Q7" s="259">
        <v>0</v>
      </c>
      <c r="R7" s="167">
        <v>0</v>
      </c>
      <c r="S7" s="167">
        <v>0</v>
      </c>
      <c r="T7" s="167">
        <v>0</v>
      </c>
      <c r="U7" s="167">
        <v>0</v>
      </c>
      <c r="V7" s="259">
        <v>0</v>
      </c>
      <c r="W7" s="657"/>
      <c r="X7" s="657"/>
    </row>
    <row r="8" spans="1:24" ht="15" customHeight="1">
      <c r="A8" s="57">
        <v>3</v>
      </c>
      <c r="B8" s="58" t="s">
        <v>57</v>
      </c>
      <c r="C8" s="167">
        <v>275</v>
      </c>
      <c r="D8" s="167">
        <v>475</v>
      </c>
      <c r="E8" s="167">
        <v>2466</v>
      </c>
      <c r="F8" s="167">
        <v>7084</v>
      </c>
      <c r="G8" s="259">
        <f t="shared" si="0"/>
        <v>6.7052512704686622</v>
      </c>
      <c r="H8" s="167">
        <v>248</v>
      </c>
      <c r="I8" s="167">
        <v>596</v>
      </c>
      <c r="J8" s="167">
        <v>1895</v>
      </c>
      <c r="K8" s="167">
        <v>5736</v>
      </c>
      <c r="L8" s="259">
        <f t="shared" si="1"/>
        <v>10.390516039051604</v>
      </c>
      <c r="M8" s="167">
        <v>2726</v>
      </c>
      <c r="N8" s="167">
        <v>1695</v>
      </c>
      <c r="O8" s="167">
        <v>21223</v>
      </c>
      <c r="P8" s="167">
        <v>13596</v>
      </c>
      <c r="Q8" s="259">
        <f t="shared" ref="Q8:Q63" si="2">N8*100/P8</f>
        <v>12.466902030008827</v>
      </c>
      <c r="R8" s="167">
        <v>59</v>
      </c>
      <c r="S8" s="167">
        <v>138</v>
      </c>
      <c r="T8" s="167">
        <v>1412</v>
      </c>
      <c r="U8" s="167">
        <v>3070</v>
      </c>
      <c r="V8" s="259">
        <f t="shared" ref="V8:V63" si="3">S8*100/U8</f>
        <v>4.4951140065146582</v>
      </c>
      <c r="W8" s="657"/>
      <c r="X8" s="657"/>
    </row>
    <row r="9" spans="1:24" ht="15" customHeight="1">
      <c r="A9" s="57">
        <v>4</v>
      </c>
      <c r="B9" s="58" t="s">
        <v>58</v>
      </c>
      <c r="C9" s="167">
        <v>359</v>
      </c>
      <c r="D9" s="167">
        <v>1781</v>
      </c>
      <c r="E9" s="167">
        <v>1487</v>
      </c>
      <c r="F9" s="167">
        <v>43284</v>
      </c>
      <c r="G9" s="259">
        <f t="shared" si="0"/>
        <v>4.1146844099436279</v>
      </c>
      <c r="H9" s="167">
        <v>121</v>
      </c>
      <c r="I9" s="167">
        <v>594</v>
      </c>
      <c r="J9" s="167">
        <v>219</v>
      </c>
      <c r="K9" s="167">
        <v>9842</v>
      </c>
      <c r="L9" s="259">
        <f t="shared" si="1"/>
        <v>6.035358666937614</v>
      </c>
      <c r="M9" s="167">
        <v>3333</v>
      </c>
      <c r="N9" s="167">
        <v>1998</v>
      </c>
      <c r="O9" s="167">
        <v>65947</v>
      </c>
      <c r="P9" s="167">
        <v>44735</v>
      </c>
      <c r="Q9" s="259">
        <f t="shared" si="2"/>
        <v>4.4663015535933832</v>
      </c>
      <c r="R9" s="167">
        <v>76</v>
      </c>
      <c r="S9" s="167">
        <v>74</v>
      </c>
      <c r="T9" s="167">
        <v>2345</v>
      </c>
      <c r="U9" s="167">
        <v>2789</v>
      </c>
      <c r="V9" s="259">
        <f t="shared" si="3"/>
        <v>2.6532807457870202</v>
      </c>
      <c r="W9" s="657"/>
      <c r="X9" s="657"/>
    </row>
    <row r="10" spans="1:24" ht="15" customHeight="1">
      <c r="A10" s="57">
        <v>5</v>
      </c>
      <c r="B10" s="58" t="s">
        <v>59</v>
      </c>
      <c r="C10" s="167">
        <v>445</v>
      </c>
      <c r="D10" s="167">
        <v>940</v>
      </c>
      <c r="E10" s="167">
        <v>3094</v>
      </c>
      <c r="F10" s="167">
        <v>22275.8</v>
      </c>
      <c r="G10" s="259">
        <f t="shared" si="0"/>
        <v>4.2198259995151695</v>
      </c>
      <c r="H10" s="167">
        <v>119</v>
      </c>
      <c r="I10" s="167">
        <v>356</v>
      </c>
      <c r="J10" s="167">
        <v>660</v>
      </c>
      <c r="K10" s="167">
        <v>1141.5</v>
      </c>
      <c r="L10" s="259">
        <f t="shared" si="1"/>
        <v>31.187034603591766</v>
      </c>
      <c r="M10" s="167">
        <v>2935</v>
      </c>
      <c r="N10" s="167">
        <v>3081.75</v>
      </c>
      <c r="O10" s="167">
        <v>12223</v>
      </c>
      <c r="P10" s="167">
        <v>12046</v>
      </c>
      <c r="Q10" s="259">
        <f t="shared" si="2"/>
        <v>25.583181138967291</v>
      </c>
      <c r="R10" s="167">
        <v>112</v>
      </c>
      <c r="S10" s="167">
        <v>199</v>
      </c>
      <c r="T10" s="167">
        <v>614</v>
      </c>
      <c r="U10" s="167">
        <v>395.38</v>
      </c>
      <c r="V10" s="259">
        <f t="shared" si="3"/>
        <v>50.331326824826746</v>
      </c>
    </row>
    <row r="11" spans="1:24" ht="15" customHeight="1">
      <c r="A11" s="57">
        <v>6</v>
      </c>
      <c r="B11" s="175" t="s">
        <v>241</v>
      </c>
      <c r="C11" s="167">
        <v>0</v>
      </c>
      <c r="D11" s="167">
        <v>0</v>
      </c>
      <c r="E11" s="167">
        <v>0</v>
      </c>
      <c r="F11" s="167">
        <v>0</v>
      </c>
      <c r="G11" s="259">
        <v>0</v>
      </c>
      <c r="H11" s="167">
        <v>0</v>
      </c>
      <c r="I11" s="167">
        <v>0</v>
      </c>
      <c r="J11" s="167">
        <v>0</v>
      </c>
      <c r="K11" s="167">
        <v>0</v>
      </c>
      <c r="L11" s="259">
        <v>0</v>
      </c>
      <c r="M11" s="167">
        <v>0</v>
      </c>
      <c r="N11" s="167">
        <v>0</v>
      </c>
      <c r="O11" s="167">
        <v>0</v>
      </c>
      <c r="P11" s="167">
        <v>0</v>
      </c>
      <c r="Q11" s="259">
        <v>0</v>
      </c>
      <c r="R11" s="167">
        <v>0</v>
      </c>
      <c r="S11" s="167">
        <v>0</v>
      </c>
      <c r="T11" s="167">
        <v>0</v>
      </c>
      <c r="U11" s="167">
        <v>0</v>
      </c>
      <c r="V11" s="259">
        <v>0</v>
      </c>
    </row>
    <row r="12" spans="1:24" ht="15" customHeight="1">
      <c r="A12" s="57">
        <v>7</v>
      </c>
      <c r="B12" s="58" t="s">
        <v>60</v>
      </c>
      <c r="C12" s="167">
        <v>477</v>
      </c>
      <c r="D12" s="167">
        <v>402</v>
      </c>
      <c r="E12" s="167">
        <v>3459</v>
      </c>
      <c r="F12" s="167">
        <v>8996</v>
      </c>
      <c r="G12" s="259">
        <f t="shared" si="0"/>
        <v>4.4686527345486882</v>
      </c>
      <c r="H12" s="167">
        <v>88</v>
      </c>
      <c r="I12" s="167">
        <v>199</v>
      </c>
      <c r="J12" s="167">
        <v>429</v>
      </c>
      <c r="K12" s="167">
        <v>1751</v>
      </c>
      <c r="L12" s="259">
        <f t="shared" si="1"/>
        <v>11.36493432324386</v>
      </c>
      <c r="M12" s="167">
        <v>0</v>
      </c>
      <c r="N12" s="167">
        <v>0</v>
      </c>
      <c r="O12" s="167">
        <v>0</v>
      </c>
      <c r="P12" s="167">
        <v>0</v>
      </c>
      <c r="Q12" s="259">
        <v>0</v>
      </c>
      <c r="R12" s="167">
        <v>176</v>
      </c>
      <c r="S12" s="167">
        <v>147</v>
      </c>
      <c r="T12" s="167">
        <v>583</v>
      </c>
      <c r="U12" s="167">
        <v>899.93</v>
      </c>
      <c r="V12" s="259">
        <f t="shared" si="3"/>
        <v>16.334603802517975</v>
      </c>
    </row>
    <row r="13" spans="1:24" ht="15" customHeight="1">
      <c r="A13" s="57">
        <v>8</v>
      </c>
      <c r="B13" s="58" t="s">
        <v>61</v>
      </c>
      <c r="C13" s="167">
        <v>977</v>
      </c>
      <c r="D13" s="167">
        <v>1023</v>
      </c>
      <c r="E13" s="167">
        <v>12716</v>
      </c>
      <c r="F13" s="167">
        <v>29956</v>
      </c>
      <c r="G13" s="259">
        <f t="shared" si="0"/>
        <v>3.4150086793964483</v>
      </c>
      <c r="H13" s="167">
        <v>295</v>
      </c>
      <c r="I13" s="167">
        <v>584</v>
      </c>
      <c r="J13" s="167">
        <v>1891</v>
      </c>
      <c r="K13" s="167">
        <v>8786</v>
      </c>
      <c r="L13" s="259">
        <f t="shared" si="1"/>
        <v>6.6469383109492375</v>
      </c>
      <c r="M13" s="167">
        <v>7554</v>
      </c>
      <c r="N13" s="167">
        <v>4487</v>
      </c>
      <c r="O13" s="167">
        <v>89190</v>
      </c>
      <c r="P13" s="167">
        <v>65985</v>
      </c>
      <c r="Q13" s="259">
        <f t="shared" si="2"/>
        <v>6.8000303099189212</v>
      </c>
      <c r="R13" s="167">
        <v>510</v>
      </c>
      <c r="S13" s="167">
        <v>268</v>
      </c>
      <c r="T13" s="167">
        <v>6418</v>
      </c>
      <c r="U13" s="167">
        <v>2512</v>
      </c>
      <c r="V13" s="259">
        <f t="shared" si="3"/>
        <v>10.668789808917197</v>
      </c>
    </row>
    <row r="14" spans="1:24" ht="15" customHeight="1">
      <c r="A14" s="57">
        <v>9</v>
      </c>
      <c r="B14" s="58" t="s">
        <v>48</v>
      </c>
      <c r="C14" s="167">
        <v>33</v>
      </c>
      <c r="D14" s="167">
        <v>10</v>
      </c>
      <c r="E14" s="167">
        <v>51</v>
      </c>
      <c r="F14" s="167">
        <v>32</v>
      </c>
      <c r="G14" s="259">
        <f t="shared" si="0"/>
        <v>31.25</v>
      </c>
      <c r="H14" s="167">
        <v>24</v>
      </c>
      <c r="I14" s="167">
        <v>161.28</v>
      </c>
      <c r="J14" s="167">
        <v>157</v>
      </c>
      <c r="K14" s="167">
        <v>1124.92</v>
      </c>
      <c r="L14" s="259">
        <f t="shared" si="1"/>
        <v>14.337019521388187</v>
      </c>
      <c r="M14" s="167">
        <v>0</v>
      </c>
      <c r="N14" s="167">
        <v>0</v>
      </c>
      <c r="O14" s="167">
        <v>0</v>
      </c>
      <c r="P14" s="167">
        <v>0</v>
      </c>
      <c r="Q14" s="259">
        <v>0</v>
      </c>
      <c r="R14" s="167">
        <v>1</v>
      </c>
      <c r="S14" s="167">
        <v>0.79</v>
      </c>
      <c r="T14" s="167">
        <v>23</v>
      </c>
      <c r="U14" s="167">
        <v>14.96</v>
      </c>
      <c r="V14" s="259">
        <f t="shared" si="3"/>
        <v>5.2807486631016038</v>
      </c>
    </row>
    <row r="15" spans="1:24" ht="15" customHeight="1">
      <c r="A15" s="57">
        <v>10</v>
      </c>
      <c r="B15" s="58" t="s">
        <v>49</v>
      </c>
      <c r="C15" s="167">
        <v>112</v>
      </c>
      <c r="D15" s="167">
        <v>158</v>
      </c>
      <c r="E15" s="167">
        <v>1375</v>
      </c>
      <c r="F15" s="167">
        <v>3112</v>
      </c>
      <c r="G15" s="259">
        <f t="shared" si="0"/>
        <v>5.0771208226221081</v>
      </c>
      <c r="H15" s="167">
        <v>62</v>
      </c>
      <c r="I15" s="167">
        <v>141</v>
      </c>
      <c r="J15" s="167">
        <v>222</v>
      </c>
      <c r="K15" s="167">
        <v>837</v>
      </c>
      <c r="L15" s="259">
        <f t="shared" si="1"/>
        <v>16.845878136200717</v>
      </c>
      <c r="M15" s="167">
        <v>0</v>
      </c>
      <c r="N15" s="167">
        <v>0</v>
      </c>
      <c r="O15" s="167">
        <v>0</v>
      </c>
      <c r="P15" s="167">
        <v>0</v>
      </c>
      <c r="Q15" s="259">
        <v>0</v>
      </c>
      <c r="R15" s="167">
        <v>52</v>
      </c>
      <c r="S15" s="167">
        <v>53</v>
      </c>
      <c r="T15" s="167">
        <v>83</v>
      </c>
      <c r="U15" s="167">
        <v>74</v>
      </c>
      <c r="V15" s="259">
        <f t="shared" si="3"/>
        <v>71.621621621621628</v>
      </c>
    </row>
    <row r="16" spans="1:24" ht="15" customHeight="1">
      <c r="A16" s="57">
        <v>11</v>
      </c>
      <c r="B16" s="58" t="s">
        <v>81</v>
      </c>
      <c r="C16" s="167">
        <v>9</v>
      </c>
      <c r="D16" s="167">
        <v>14</v>
      </c>
      <c r="E16" s="167">
        <v>222</v>
      </c>
      <c r="F16" s="167">
        <v>775</v>
      </c>
      <c r="G16" s="259">
        <f t="shared" si="0"/>
        <v>1.8064516129032258</v>
      </c>
      <c r="H16" s="167">
        <v>44</v>
      </c>
      <c r="I16" s="167">
        <v>72</v>
      </c>
      <c r="J16" s="167">
        <v>73</v>
      </c>
      <c r="K16" s="167">
        <v>337</v>
      </c>
      <c r="L16" s="259">
        <f t="shared" si="1"/>
        <v>21.364985163204746</v>
      </c>
      <c r="M16" s="167">
        <v>0</v>
      </c>
      <c r="N16" s="167">
        <v>0</v>
      </c>
      <c r="O16" s="167">
        <v>0</v>
      </c>
      <c r="P16" s="167">
        <v>0</v>
      </c>
      <c r="Q16" s="259">
        <v>0</v>
      </c>
      <c r="R16" s="167">
        <v>0</v>
      </c>
      <c r="S16" s="167">
        <v>0</v>
      </c>
      <c r="T16" s="167">
        <v>0</v>
      </c>
      <c r="U16" s="167">
        <v>0</v>
      </c>
      <c r="V16" s="259">
        <v>0</v>
      </c>
    </row>
    <row r="17" spans="1:22" ht="15" customHeight="1">
      <c r="A17" s="57">
        <v>12</v>
      </c>
      <c r="B17" s="58" t="s">
        <v>62</v>
      </c>
      <c r="C17" s="167">
        <v>52</v>
      </c>
      <c r="D17" s="167">
        <v>31</v>
      </c>
      <c r="E17" s="167">
        <v>97</v>
      </c>
      <c r="F17" s="167">
        <v>273</v>
      </c>
      <c r="G17" s="259">
        <f t="shared" si="0"/>
        <v>11.355311355311356</v>
      </c>
      <c r="H17" s="167">
        <v>18</v>
      </c>
      <c r="I17" s="167">
        <v>82</v>
      </c>
      <c r="J17" s="167">
        <v>42</v>
      </c>
      <c r="K17" s="167">
        <v>113</v>
      </c>
      <c r="L17" s="259">
        <f t="shared" si="1"/>
        <v>72.56637168141593</v>
      </c>
      <c r="M17" s="167">
        <v>0</v>
      </c>
      <c r="N17" s="167">
        <v>0</v>
      </c>
      <c r="O17" s="167">
        <v>0</v>
      </c>
      <c r="P17" s="167">
        <v>0</v>
      </c>
      <c r="Q17" s="259">
        <v>0</v>
      </c>
      <c r="R17" s="167">
        <v>26</v>
      </c>
      <c r="S17" s="167">
        <v>81</v>
      </c>
      <c r="T17" s="167">
        <v>792</v>
      </c>
      <c r="U17" s="167">
        <v>937</v>
      </c>
      <c r="V17" s="259">
        <f t="shared" si="3"/>
        <v>8.6446104589114192</v>
      </c>
    </row>
    <row r="18" spans="1:22" ht="15" customHeight="1">
      <c r="A18" s="57">
        <v>13</v>
      </c>
      <c r="B18" s="58" t="s">
        <v>63</v>
      </c>
      <c r="C18" s="167">
        <v>228</v>
      </c>
      <c r="D18" s="167">
        <v>229</v>
      </c>
      <c r="E18" s="167">
        <v>1094</v>
      </c>
      <c r="F18" s="167">
        <v>3526</v>
      </c>
      <c r="G18" s="259">
        <f t="shared" si="0"/>
        <v>6.4946114577424847</v>
      </c>
      <c r="H18" s="167">
        <v>10</v>
      </c>
      <c r="I18" s="167">
        <v>101</v>
      </c>
      <c r="J18" s="167">
        <v>47</v>
      </c>
      <c r="K18" s="167">
        <v>699</v>
      </c>
      <c r="L18" s="259">
        <f t="shared" si="1"/>
        <v>14.449213161659513</v>
      </c>
      <c r="M18" s="167">
        <v>12</v>
      </c>
      <c r="N18" s="167">
        <v>13</v>
      </c>
      <c r="O18" s="167">
        <v>1386</v>
      </c>
      <c r="P18" s="167">
        <v>1227</v>
      </c>
      <c r="Q18" s="259">
        <f t="shared" si="2"/>
        <v>1.0594947025264874</v>
      </c>
      <c r="R18" s="167">
        <v>3</v>
      </c>
      <c r="S18" s="167">
        <v>3</v>
      </c>
      <c r="T18" s="167">
        <v>4</v>
      </c>
      <c r="U18" s="167">
        <v>5</v>
      </c>
      <c r="V18" s="259">
        <f t="shared" si="3"/>
        <v>60</v>
      </c>
    </row>
    <row r="19" spans="1:22" ht="15" customHeight="1">
      <c r="A19" s="57">
        <v>14</v>
      </c>
      <c r="B19" s="90" t="s">
        <v>206</v>
      </c>
      <c r="C19" s="167">
        <v>520</v>
      </c>
      <c r="D19" s="167">
        <v>356.01</v>
      </c>
      <c r="E19" s="167">
        <v>1947</v>
      </c>
      <c r="F19" s="167">
        <v>2964.96</v>
      </c>
      <c r="G19" s="259">
        <f t="shared" si="0"/>
        <v>12.007244617128055</v>
      </c>
      <c r="H19" s="167">
        <v>48</v>
      </c>
      <c r="I19" s="167">
        <v>82.93</v>
      </c>
      <c r="J19" s="167">
        <v>198</v>
      </c>
      <c r="K19" s="167">
        <v>661.81</v>
      </c>
      <c r="L19" s="259">
        <f t="shared" si="1"/>
        <v>12.53078678170472</v>
      </c>
      <c r="M19" s="167">
        <v>647</v>
      </c>
      <c r="N19" s="167">
        <v>464.78</v>
      </c>
      <c r="O19" s="167">
        <v>3095</v>
      </c>
      <c r="P19" s="167">
        <v>2335.66</v>
      </c>
      <c r="Q19" s="259">
        <f t="shared" si="2"/>
        <v>19.899300411875018</v>
      </c>
      <c r="R19" s="167">
        <v>39</v>
      </c>
      <c r="S19" s="167">
        <v>46.01</v>
      </c>
      <c r="T19" s="167">
        <v>67</v>
      </c>
      <c r="U19" s="167">
        <v>68.180000000000007</v>
      </c>
      <c r="V19" s="259">
        <f t="shared" si="3"/>
        <v>67.483132883543561</v>
      </c>
    </row>
    <row r="20" spans="1:22" ht="15" customHeight="1">
      <c r="A20" s="57">
        <v>15</v>
      </c>
      <c r="B20" s="58" t="s">
        <v>207</v>
      </c>
      <c r="C20" s="167">
        <v>41</v>
      </c>
      <c r="D20" s="167">
        <v>31.3</v>
      </c>
      <c r="E20" s="167">
        <v>426</v>
      </c>
      <c r="F20" s="167">
        <v>704.12</v>
      </c>
      <c r="G20" s="259">
        <f t="shared" si="0"/>
        <v>4.4452650116457422</v>
      </c>
      <c r="H20" s="167">
        <v>11</v>
      </c>
      <c r="I20" s="167">
        <v>7.17</v>
      </c>
      <c r="J20" s="167">
        <v>72</v>
      </c>
      <c r="K20" s="167">
        <v>347</v>
      </c>
      <c r="L20" s="259">
        <f t="shared" si="1"/>
        <v>2.0662824207492796</v>
      </c>
      <c r="M20" s="167">
        <v>0</v>
      </c>
      <c r="N20" s="167">
        <v>0</v>
      </c>
      <c r="O20" s="167">
        <v>0</v>
      </c>
      <c r="P20" s="167">
        <v>0</v>
      </c>
      <c r="Q20" s="259">
        <v>0</v>
      </c>
      <c r="R20" s="167">
        <v>8</v>
      </c>
      <c r="S20" s="167">
        <v>6</v>
      </c>
      <c r="T20" s="167">
        <v>22</v>
      </c>
      <c r="U20" s="167">
        <v>20.46</v>
      </c>
      <c r="V20" s="259">
        <f t="shared" si="3"/>
        <v>29.325513196480937</v>
      </c>
    </row>
    <row r="21" spans="1:22" ht="15" customHeight="1">
      <c r="A21" s="57">
        <v>16</v>
      </c>
      <c r="B21" s="58" t="s">
        <v>64</v>
      </c>
      <c r="C21" s="167">
        <v>354</v>
      </c>
      <c r="D21" s="167">
        <v>1461</v>
      </c>
      <c r="E21" s="167">
        <v>5331</v>
      </c>
      <c r="F21" s="167">
        <v>18331</v>
      </c>
      <c r="G21" s="259">
        <f t="shared" si="0"/>
        <v>7.9701052861273256</v>
      </c>
      <c r="H21" s="167">
        <v>182</v>
      </c>
      <c r="I21" s="167">
        <v>401</v>
      </c>
      <c r="J21" s="167">
        <v>1171</v>
      </c>
      <c r="K21" s="167">
        <v>5094</v>
      </c>
      <c r="L21" s="259">
        <f t="shared" si="1"/>
        <v>7.8720062819002745</v>
      </c>
      <c r="M21" s="167">
        <v>748</v>
      </c>
      <c r="N21" s="167">
        <v>850</v>
      </c>
      <c r="O21" s="167">
        <v>28725</v>
      </c>
      <c r="P21" s="167">
        <v>23025</v>
      </c>
      <c r="Q21" s="259">
        <f t="shared" si="2"/>
        <v>3.6916395222584146</v>
      </c>
      <c r="R21" s="167">
        <v>556</v>
      </c>
      <c r="S21" s="167">
        <v>437</v>
      </c>
      <c r="T21" s="167">
        <v>3376</v>
      </c>
      <c r="U21" s="167">
        <v>3301</v>
      </c>
      <c r="V21" s="259">
        <f t="shared" si="3"/>
        <v>13.238412602241745</v>
      </c>
    </row>
    <row r="22" spans="1:22" ht="15" customHeight="1">
      <c r="A22" s="57">
        <v>17</v>
      </c>
      <c r="B22" s="90" t="s">
        <v>69</v>
      </c>
      <c r="C22" s="167">
        <v>0</v>
      </c>
      <c r="D22" s="167">
        <v>0</v>
      </c>
      <c r="E22" s="167">
        <v>0</v>
      </c>
      <c r="F22" s="167">
        <v>0</v>
      </c>
      <c r="G22" s="259">
        <v>0</v>
      </c>
      <c r="H22" s="167">
        <v>0</v>
      </c>
      <c r="I22" s="167">
        <v>0</v>
      </c>
      <c r="J22" s="167">
        <v>0</v>
      </c>
      <c r="K22" s="167">
        <v>0</v>
      </c>
      <c r="L22" s="259">
        <v>0</v>
      </c>
      <c r="M22" s="167">
        <v>0</v>
      </c>
      <c r="N22" s="167">
        <v>0</v>
      </c>
      <c r="O22" s="167">
        <v>0</v>
      </c>
      <c r="P22" s="167">
        <v>0</v>
      </c>
      <c r="Q22" s="259">
        <v>0</v>
      </c>
      <c r="R22" s="167">
        <v>0</v>
      </c>
      <c r="S22" s="167">
        <v>0</v>
      </c>
      <c r="T22" s="167">
        <v>0</v>
      </c>
      <c r="U22" s="167">
        <v>0</v>
      </c>
      <c r="V22" s="259">
        <v>0</v>
      </c>
    </row>
    <row r="23" spans="1:22" ht="15" customHeight="1">
      <c r="A23" s="57">
        <v>18</v>
      </c>
      <c r="B23" s="58" t="s">
        <v>208</v>
      </c>
      <c r="C23" s="167">
        <v>0</v>
      </c>
      <c r="D23" s="167">
        <v>0</v>
      </c>
      <c r="E23" s="167">
        <v>0</v>
      </c>
      <c r="F23" s="167">
        <v>0</v>
      </c>
      <c r="G23" s="259">
        <v>0</v>
      </c>
      <c r="H23" s="167">
        <v>0</v>
      </c>
      <c r="I23" s="167">
        <v>0</v>
      </c>
      <c r="J23" s="167">
        <v>0</v>
      </c>
      <c r="K23" s="167">
        <v>0</v>
      </c>
      <c r="L23" s="259">
        <v>0</v>
      </c>
      <c r="M23" s="167">
        <v>0</v>
      </c>
      <c r="N23" s="167">
        <v>0</v>
      </c>
      <c r="O23" s="167">
        <v>0</v>
      </c>
      <c r="P23" s="167">
        <v>0</v>
      </c>
      <c r="Q23" s="259">
        <v>0</v>
      </c>
      <c r="R23" s="167">
        <v>0</v>
      </c>
      <c r="S23" s="167">
        <v>0</v>
      </c>
      <c r="T23" s="167">
        <v>0</v>
      </c>
      <c r="U23" s="167">
        <v>0</v>
      </c>
      <c r="V23" s="259">
        <v>0</v>
      </c>
    </row>
    <row r="24" spans="1:22" ht="15" customHeight="1">
      <c r="A24" s="57">
        <v>19</v>
      </c>
      <c r="B24" s="91" t="s">
        <v>209</v>
      </c>
      <c r="C24" s="167">
        <v>0</v>
      </c>
      <c r="D24" s="167">
        <v>0</v>
      </c>
      <c r="E24" s="167">
        <v>0</v>
      </c>
      <c r="F24" s="167">
        <v>0</v>
      </c>
      <c r="G24" s="259">
        <v>0</v>
      </c>
      <c r="H24" s="167">
        <v>45</v>
      </c>
      <c r="I24" s="167">
        <v>45</v>
      </c>
      <c r="J24" s="167">
        <v>0</v>
      </c>
      <c r="K24" s="167">
        <v>0</v>
      </c>
      <c r="L24" s="259">
        <v>0</v>
      </c>
      <c r="M24" s="167">
        <v>0</v>
      </c>
      <c r="N24" s="167">
        <v>0</v>
      </c>
      <c r="O24" s="167">
        <v>0</v>
      </c>
      <c r="P24" s="167">
        <v>0</v>
      </c>
      <c r="Q24" s="259">
        <v>0</v>
      </c>
      <c r="R24" s="167">
        <v>0</v>
      </c>
      <c r="S24" s="167">
        <v>0</v>
      </c>
      <c r="T24" s="167">
        <v>0</v>
      </c>
      <c r="U24" s="167">
        <v>0</v>
      </c>
      <c r="V24" s="259">
        <v>0</v>
      </c>
    </row>
    <row r="25" spans="1:22" ht="15" customHeight="1">
      <c r="A25" s="57">
        <v>20</v>
      </c>
      <c r="B25" s="58" t="s">
        <v>210</v>
      </c>
      <c r="C25" s="167">
        <v>0</v>
      </c>
      <c r="D25" s="167">
        <v>0</v>
      </c>
      <c r="E25" s="167">
        <v>0</v>
      </c>
      <c r="F25" s="167">
        <v>0</v>
      </c>
      <c r="G25" s="259">
        <v>0</v>
      </c>
      <c r="H25" s="167">
        <v>0</v>
      </c>
      <c r="I25" s="167">
        <v>0</v>
      </c>
      <c r="J25" s="167">
        <v>0</v>
      </c>
      <c r="K25" s="167">
        <v>0</v>
      </c>
      <c r="L25" s="259">
        <v>0</v>
      </c>
      <c r="M25" s="167">
        <v>0</v>
      </c>
      <c r="N25" s="167">
        <v>0</v>
      </c>
      <c r="O25" s="167">
        <v>0</v>
      </c>
      <c r="P25" s="167">
        <v>0</v>
      </c>
      <c r="Q25" s="259">
        <v>0</v>
      </c>
      <c r="R25" s="167">
        <v>0</v>
      </c>
      <c r="S25" s="167">
        <v>0</v>
      </c>
      <c r="T25" s="167">
        <v>0</v>
      </c>
      <c r="U25" s="167">
        <v>0</v>
      </c>
      <c r="V25" s="259">
        <v>0</v>
      </c>
    </row>
    <row r="26" spans="1:22" ht="15" customHeight="1">
      <c r="A26" s="57">
        <v>21</v>
      </c>
      <c r="B26" s="58" t="s">
        <v>211</v>
      </c>
      <c r="C26" s="167">
        <v>0</v>
      </c>
      <c r="D26" s="167">
        <v>0</v>
      </c>
      <c r="E26" s="167">
        <v>0</v>
      </c>
      <c r="F26" s="167">
        <v>0</v>
      </c>
      <c r="G26" s="259">
        <v>0</v>
      </c>
      <c r="H26" s="167">
        <v>0</v>
      </c>
      <c r="I26" s="167">
        <v>0</v>
      </c>
      <c r="J26" s="167">
        <v>0</v>
      </c>
      <c r="K26" s="167">
        <v>0</v>
      </c>
      <c r="L26" s="259">
        <v>0</v>
      </c>
      <c r="M26" s="167">
        <v>0</v>
      </c>
      <c r="N26" s="167">
        <v>0</v>
      </c>
      <c r="O26" s="167">
        <v>0</v>
      </c>
      <c r="P26" s="167">
        <v>0</v>
      </c>
      <c r="Q26" s="259">
        <v>0</v>
      </c>
      <c r="R26" s="167">
        <v>0</v>
      </c>
      <c r="S26" s="167">
        <v>0</v>
      </c>
      <c r="T26" s="167">
        <v>0</v>
      </c>
      <c r="U26" s="167">
        <v>0</v>
      </c>
      <c r="V26" s="259">
        <v>0</v>
      </c>
    </row>
    <row r="27" spans="1:22" s="176" customFormat="1" ht="15" customHeight="1">
      <c r="A27" s="57">
        <v>22</v>
      </c>
      <c r="B27" s="58" t="s">
        <v>70</v>
      </c>
      <c r="C27" s="167">
        <v>3918</v>
      </c>
      <c r="D27" s="167">
        <v>2900.03</v>
      </c>
      <c r="E27" s="167">
        <v>23283</v>
      </c>
      <c r="F27" s="167">
        <v>37182.839999999997</v>
      </c>
      <c r="G27" s="259">
        <f t="shared" si="0"/>
        <v>7.7993773471848851</v>
      </c>
      <c r="H27" s="167">
        <v>611</v>
      </c>
      <c r="I27" s="167">
        <v>734.67</v>
      </c>
      <c r="J27" s="167">
        <v>2253</v>
      </c>
      <c r="K27" s="167">
        <v>6518.91</v>
      </c>
      <c r="L27" s="259">
        <f t="shared" si="1"/>
        <v>11.269828851755891</v>
      </c>
      <c r="M27" s="167">
        <v>13497</v>
      </c>
      <c r="N27" s="167">
        <v>9953.06</v>
      </c>
      <c r="O27" s="167">
        <v>116313</v>
      </c>
      <c r="P27" s="167">
        <v>87016.67</v>
      </c>
      <c r="Q27" s="259">
        <f t="shared" si="2"/>
        <v>11.438107204056418</v>
      </c>
      <c r="R27" s="167">
        <v>37</v>
      </c>
      <c r="S27" s="167">
        <v>7.42</v>
      </c>
      <c r="T27" s="167">
        <v>2480</v>
      </c>
      <c r="U27" s="167">
        <v>2197</v>
      </c>
      <c r="V27" s="259">
        <f t="shared" si="3"/>
        <v>0.33773327264451525</v>
      </c>
    </row>
    <row r="28" spans="1:22" ht="15" customHeight="1">
      <c r="A28" s="57">
        <v>23</v>
      </c>
      <c r="B28" s="58" t="s">
        <v>65</v>
      </c>
      <c r="C28" s="167">
        <v>192</v>
      </c>
      <c r="D28" s="167">
        <v>182</v>
      </c>
      <c r="E28" s="167">
        <v>3550</v>
      </c>
      <c r="F28" s="167">
        <v>1497</v>
      </c>
      <c r="G28" s="259">
        <f t="shared" si="0"/>
        <v>12.157648630594522</v>
      </c>
      <c r="H28" s="167">
        <v>10</v>
      </c>
      <c r="I28" s="167">
        <v>14</v>
      </c>
      <c r="J28" s="167">
        <v>71</v>
      </c>
      <c r="K28" s="167">
        <v>161</v>
      </c>
      <c r="L28" s="259">
        <f t="shared" si="1"/>
        <v>8.695652173913043</v>
      </c>
      <c r="M28" s="167">
        <v>978</v>
      </c>
      <c r="N28" s="167">
        <v>907</v>
      </c>
      <c r="O28" s="167">
        <v>4766</v>
      </c>
      <c r="P28" s="167">
        <v>4705</v>
      </c>
      <c r="Q28" s="259">
        <f t="shared" si="2"/>
        <v>19.277364505844847</v>
      </c>
      <c r="R28" s="167">
        <v>91</v>
      </c>
      <c r="S28" s="167">
        <v>32</v>
      </c>
      <c r="T28" s="167">
        <v>298</v>
      </c>
      <c r="U28" s="167">
        <v>404</v>
      </c>
      <c r="V28" s="259">
        <f t="shared" si="3"/>
        <v>7.9207920792079207</v>
      </c>
    </row>
    <row r="29" spans="1:22" ht="15" customHeight="1">
      <c r="A29" s="57">
        <v>24</v>
      </c>
      <c r="B29" s="58" t="s">
        <v>212</v>
      </c>
      <c r="C29" s="167">
        <v>356</v>
      </c>
      <c r="D29" s="167">
        <v>291</v>
      </c>
      <c r="E29" s="167">
        <v>1688</v>
      </c>
      <c r="F29" s="167">
        <v>1611</v>
      </c>
      <c r="G29" s="259">
        <f t="shared" si="0"/>
        <v>18.063314711359403</v>
      </c>
      <c r="H29" s="167">
        <v>83</v>
      </c>
      <c r="I29" s="167">
        <v>151</v>
      </c>
      <c r="J29" s="167">
        <v>1537</v>
      </c>
      <c r="K29" s="167">
        <v>1453</v>
      </c>
      <c r="L29" s="259">
        <f t="shared" si="1"/>
        <v>10.392291810048176</v>
      </c>
      <c r="M29" s="167">
        <v>0</v>
      </c>
      <c r="N29" s="167">
        <v>0</v>
      </c>
      <c r="O29" s="167">
        <v>0</v>
      </c>
      <c r="P29" s="167">
        <v>0</v>
      </c>
      <c r="Q29" s="259">
        <v>0</v>
      </c>
      <c r="R29" s="167">
        <v>1258</v>
      </c>
      <c r="S29" s="167">
        <v>830</v>
      </c>
      <c r="T29" s="167">
        <v>1851</v>
      </c>
      <c r="U29" s="167">
        <v>1337</v>
      </c>
      <c r="V29" s="259">
        <f t="shared" si="3"/>
        <v>62.07928197456993</v>
      </c>
    </row>
    <row r="30" spans="1:22" ht="15" customHeight="1">
      <c r="A30" s="57">
        <v>25</v>
      </c>
      <c r="B30" s="58" t="s">
        <v>66</v>
      </c>
      <c r="C30" s="167">
        <v>932</v>
      </c>
      <c r="D30" s="167">
        <v>839</v>
      </c>
      <c r="E30" s="167">
        <v>4785</v>
      </c>
      <c r="F30" s="167">
        <v>26282</v>
      </c>
      <c r="G30" s="259">
        <f t="shared" si="0"/>
        <v>3.1922989118027547</v>
      </c>
      <c r="H30" s="167">
        <v>87</v>
      </c>
      <c r="I30" s="167">
        <v>263</v>
      </c>
      <c r="J30" s="167">
        <v>927</v>
      </c>
      <c r="K30" s="167">
        <v>3276</v>
      </c>
      <c r="L30" s="259">
        <f t="shared" si="1"/>
        <v>8.028083028083028</v>
      </c>
      <c r="M30" s="167">
        <v>2661</v>
      </c>
      <c r="N30" s="167">
        <v>1469</v>
      </c>
      <c r="O30" s="167">
        <v>27104</v>
      </c>
      <c r="P30" s="167">
        <v>19164</v>
      </c>
      <c r="Q30" s="259">
        <f t="shared" si="2"/>
        <v>7.6654143185138803</v>
      </c>
      <c r="R30" s="167">
        <v>1652</v>
      </c>
      <c r="S30" s="167">
        <v>1023</v>
      </c>
      <c r="T30" s="167">
        <v>7912</v>
      </c>
      <c r="U30" s="167">
        <v>6137</v>
      </c>
      <c r="V30" s="259">
        <f t="shared" si="3"/>
        <v>16.66938243441421</v>
      </c>
    </row>
    <row r="31" spans="1:22" ht="15" customHeight="1">
      <c r="A31" s="57">
        <v>26</v>
      </c>
      <c r="B31" s="175" t="s">
        <v>67</v>
      </c>
      <c r="C31" s="167">
        <v>13</v>
      </c>
      <c r="D31" s="167">
        <v>9</v>
      </c>
      <c r="E31" s="167">
        <v>28</v>
      </c>
      <c r="F31" s="167">
        <v>18.89</v>
      </c>
      <c r="G31" s="259">
        <f t="shared" si="0"/>
        <v>47.644256220222339</v>
      </c>
      <c r="H31" s="167">
        <v>4</v>
      </c>
      <c r="I31" s="167">
        <v>2</v>
      </c>
      <c r="J31" s="167">
        <v>10</v>
      </c>
      <c r="K31" s="167">
        <v>18.2</v>
      </c>
      <c r="L31" s="259">
        <f t="shared" si="1"/>
        <v>10.989010989010989</v>
      </c>
      <c r="M31" s="167">
        <v>0</v>
      </c>
      <c r="N31" s="167">
        <v>0</v>
      </c>
      <c r="O31" s="167">
        <v>0</v>
      </c>
      <c r="P31" s="167">
        <v>0</v>
      </c>
      <c r="Q31" s="259">
        <v>0</v>
      </c>
      <c r="R31" s="167">
        <v>0</v>
      </c>
      <c r="S31" s="167">
        <v>0</v>
      </c>
      <c r="T31" s="167">
        <v>0</v>
      </c>
      <c r="U31" s="167">
        <v>0</v>
      </c>
      <c r="V31" s="259">
        <v>0</v>
      </c>
    </row>
    <row r="32" spans="1:22" ht="15" customHeight="1">
      <c r="A32" s="57">
        <v>27</v>
      </c>
      <c r="B32" s="58" t="s">
        <v>50</v>
      </c>
      <c r="C32" s="167">
        <v>340</v>
      </c>
      <c r="D32" s="167">
        <v>249</v>
      </c>
      <c r="E32" s="167">
        <v>2133</v>
      </c>
      <c r="F32" s="167">
        <v>3804</v>
      </c>
      <c r="G32" s="259">
        <f t="shared" si="0"/>
        <v>6.5457413249211358</v>
      </c>
      <c r="H32" s="167">
        <v>0</v>
      </c>
      <c r="I32" s="167">
        <v>0</v>
      </c>
      <c r="J32" s="167">
        <v>209</v>
      </c>
      <c r="K32" s="167">
        <v>1546</v>
      </c>
      <c r="L32" s="259">
        <f t="shared" si="1"/>
        <v>0</v>
      </c>
      <c r="M32" s="167">
        <v>0</v>
      </c>
      <c r="N32" s="167">
        <v>0</v>
      </c>
      <c r="O32" s="167">
        <v>0</v>
      </c>
      <c r="P32" s="167">
        <v>0</v>
      </c>
      <c r="Q32" s="259">
        <v>0</v>
      </c>
      <c r="R32" s="167">
        <v>0</v>
      </c>
      <c r="S32" s="167">
        <v>0</v>
      </c>
      <c r="T32" s="167">
        <v>0</v>
      </c>
      <c r="U32" s="167">
        <v>0</v>
      </c>
      <c r="V32" s="259">
        <v>0</v>
      </c>
    </row>
    <row r="33" spans="1:22" s="176" customFormat="1" ht="15" customHeight="1">
      <c r="A33" s="521" t="s">
        <v>345</v>
      </c>
      <c r="B33" s="59" t="s">
        <v>286</v>
      </c>
      <c r="C33" s="169">
        <f>SUM(C6:C32)</f>
        <v>9833</v>
      </c>
      <c r="D33" s="169">
        <f t="shared" ref="D33:U33" si="4">SUM(D6:D32)</f>
        <v>11863.69</v>
      </c>
      <c r="E33" s="169">
        <f t="shared" si="4"/>
        <v>74200</v>
      </c>
      <c r="F33" s="169">
        <f t="shared" si="4"/>
        <v>231239.82</v>
      </c>
      <c r="G33" s="262">
        <f t="shared" si="0"/>
        <v>5.1304701759411504</v>
      </c>
      <c r="H33" s="169">
        <f t="shared" si="4"/>
        <v>2780</v>
      </c>
      <c r="I33" s="169">
        <f t="shared" si="4"/>
        <v>5467.38</v>
      </c>
      <c r="J33" s="169">
        <f t="shared" si="4"/>
        <v>13781</v>
      </c>
      <c r="K33" s="169">
        <f t="shared" si="4"/>
        <v>59389.079999999987</v>
      </c>
      <c r="L33" s="262">
        <f t="shared" si="1"/>
        <v>9.206035857096964</v>
      </c>
      <c r="M33" s="169">
        <f t="shared" si="4"/>
        <v>35309</v>
      </c>
      <c r="N33" s="169">
        <f t="shared" si="4"/>
        <v>25109.59</v>
      </c>
      <c r="O33" s="169">
        <f t="shared" si="4"/>
        <v>381091</v>
      </c>
      <c r="P33" s="169">
        <f t="shared" si="4"/>
        <v>283251.33</v>
      </c>
      <c r="Q33" s="262">
        <f t="shared" si="2"/>
        <v>8.8647739094464271</v>
      </c>
      <c r="R33" s="169">
        <f t="shared" si="4"/>
        <v>4925</v>
      </c>
      <c r="S33" s="169">
        <f t="shared" si="4"/>
        <v>3642.2200000000003</v>
      </c>
      <c r="T33" s="169">
        <f t="shared" si="4"/>
        <v>29873</v>
      </c>
      <c r="U33" s="169">
        <f t="shared" si="4"/>
        <v>25113.91</v>
      </c>
      <c r="V33" s="262">
        <f t="shared" si="3"/>
        <v>14.502799444610577</v>
      </c>
    </row>
    <row r="34" spans="1:22" s="176" customFormat="1" ht="15" customHeight="1">
      <c r="A34" s="57">
        <v>28</v>
      </c>
      <c r="B34" s="58" t="s">
        <v>47</v>
      </c>
      <c r="C34" s="167">
        <v>53</v>
      </c>
      <c r="D34" s="167">
        <v>4.71</v>
      </c>
      <c r="E34" s="167">
        <v>190</v>
      </c>
      <c r="F34" s="167">
        <v>367.72</v>
      </c>
      <c r="G34" s="259">
        <f t="shared" si="0"/>
        <v>1.2808658762101599</v>
      </c>
      <c r="H34" s="167">
        <v>0</v>
      </c>
      <c r="I34" s="167">
        <v>0</v>
      </c>
      <c r="J34" s="167">
        <v>0</v>
      </c>
      <c r="K34" s="167">
        <v>0</v>
      </c>
      <c r="L34" s="259">
        <v>0</v>
      </c>
      <c r="M34" s="167">
        <v>0</v>
      </c>
      <c r="N34" s="167">
        <v>0</v>
      </c>
      <c r="O34" s="167">
        <v>0</v>
      </c>
      <c r="P34" s="167">
        <v>0</v>
      </c>
      <c r="Q34" s="259">
        <v>0</v>
      </c>
      <c r="R34" s="167">
        <v>0</v>
      </c>
      <c r="S34" s="167">
        <v>0</v>
      </c>
      <c r="T34" s="167">
        <v>25</v>
      </c>
      <c r="U34" s="167">
        <v>206.57</v>
      </c>
      <c r="V34" s="259">
        <v>0</v>
      </c>
    </row>
    <row r="35" spans="1:22" ht="15" customHeight="1">
      <c r="A35" s="57">
        <v>29</v>
      </c>
      <c r="B35" s="58" t="s">
        <v>214</v>
      </c>
      <c r="C35" s="167">
        <v>0</v>
      </c>
      <c r="D35" s="167">
        <v>0</v>
      </c>
      <c r="E35" s="167">
        <v>0</v>
      </c>
      <c r="F35" s="167">
        <v>0</v>
      </c>
      <c r="G35" s="259">
        <v>0</v>
      </c>
      <c r="H35" s="167">
        <v>0</v>
      </c>
      <c r="I35" s="167">
        <v>0</v>
      </c>
      <c r="J35" s="167">
        <v>0</v>
      </c>
      <c r="K35" s="167">
        <v>0</v>
      </c>
      <c r="L35" s="259">
        <v>0</v>
      </c>
      <c r="M35" s="167">
        <v>0</v>
      </c>
      <c r="N35" s="167">
        <v>0</v>
      </c>
      <c r="O35" s="167">
        <v>0</v>
      </c>
      <c r="P35" s="167">
        <v>0</v>
      </c>
      <c r="Q35" s="259">
        <v>0</v>
      </c>
      <c r="R35" s="167">
        <v>0</v>
      </c>
      <c r="S35" s="167">
        <v>0</v>
      </c>
      <c r="T35" s="167">
        <v>0</v>
      </c>
      <c r="U35" s="167">
        <v>0</v>
      </c>
      <c r="V35" s="259">
        <v>0</v>
      </c>
    </row>
    <row r="36" spans="1:22" ht="15" customHeight="1">
      <c r="A36" s="57">
        <v>30</v>
      </c>
      <c r="B36" s="58" t="s">
        <v>215</v>
      </c>
      <c r="C36" s="167">
        <v>0</v>
      </c>
      <c r="D36" s="167">
        <v>0</v>
      </c>
      <c r="E36" s="167">
        <v>0</v>
      </c>
      <c r="F36" s="167">
        <v>0</v>
      </c>
      <c r="G36" s="259">
        <v>0</v>
      </c>
      <c r="H36" s="167">
        <v>0</v>
      </c>
      <c r="I36" s="167">
        <v>0</v>
      </c>
      <c r="J36" s="167">
        <v>0</v>
      </c>
      <c r="K36" s="167">
        <v>0</v>
      </c>
      <c r="L36" s="259">
        <v>0</v>
      </c>
      <c r="M36" s="167">
        <v>0</v>
      </c>
      <c r="N36" s="167">
        <v>0</v>
      </c>
      <c r="O36" s="167">
        <v>0</v>
      </c>
      <c r="P36" s="167">
        <v>0</v>
      </c>
      <c r="Q36" s="259">
        <v>0</v>
      </c>
      <c r="R36" s="167">
        <v>0</v>
      </c>
      <c r="S36" s="167">
        <v>0</v>
      </c>
      <c r="T36" s="167">
        <v>0</v>
      </c>
      <c r="U36" s="167">
        <v>0</v>
      </c>
      <c r="V36" s="259">
        <v>0</v>
      </c>
    </row>
    <row r="37" spans="1:22" ht="15" customHeight="1">
      <c r="A37" s="57">
        <v>31</v>
      </c>
      <c r="B37" s="58" t="s">
        <v>78</v>
      </c>
      <c r="C37" s="167">
        <v>0</v>
      </c>
      <c r="D37" s="167">
        <v>0</v>
      </c>
      <c r="E37" s="167">
        <v>0</v>
      </c>
      <c r="F37" s="167">
        <v>0</v>
      </c>
      <c r="G37" s="259">
        <v>0</v>
      </c>
      <c r="H37" s="167">
        <v>0</v>
      </c>
      <c r="I37" s="167">
        <v>0</v>
      </c>
      <c r="J37" s="167">
        <v>0</v>
      </c>
      <c r="K37" s="167">
        <v>0</v>
      </c>
      <c r="L37" s="259">
        <v>0</v>
      </c>
      <c r="M37" s="167">
        <v>0</v>
      </c>
      <c r="N37" s="167">
        <v>0</v>
      </c>
      <c r="O37" s="167">
        <v>0</v>
      </c>
      <c r="P37" s="167">
        <v>0</v>
      </c>
      <c r="Q37" s="259">
        <v>0</v>
      </c>
      <c r="R37" s="167">
        <v>0</v>
      </c>
      <c r="S37" s="167">
        <v>0</v>
      </c>
      <c r="T37" s="167">
        <v>0</v>
      </c>
      <c r="U37" s="167">
        <v>0</v>
      </c>
      <c r="V37" s="259">
        <v>0</v>
      </c>
    </row>
    <row r="38" spans="1:22" ht="15" customHeight="1">
      <c r="A38" s="57">
        <v>32</v>
      </c>
      <c r="B38" s="58" t="s">
        <v>51</v>
      </c>
      <c r="C38" s="167">
        <v>0</v>
      </c>
      <c r="D38" s="167">
        <v>0</v>
      </c>
      <c r="E38" s="167">
        <v>0</v>
      </c>
      <c r="F38" s="167">
        <v>0</v>
      </c>
      <c r="G38" s="259">
        <v>0</v>
      </c>
      <c r="H38" s="167">
        <v>0</v>
      </c>
      <c r="I38" s="167">
        <v>0</v>
      </c>
      <c r="J38" s="167">
        <v>0</v>
      </c>
      <c r="K38" s="167">
        <v>0</v>
      </c>
      <c r="L38" s="259">
        <v>0</v>
      </c>
      <c r="M38" s="167">
        <v>0</v>
      </c>
      <c r="N38" s="167">
        <v>0</v>
      </c>
      <c r="O38" s="167">
        <v>0</v>
      </c>
      <c r="P38" s="167">
        <v>0</v>
      </c>
      <c r="Q38" s="259">
        <v>0</v>
      </c>
      <c r="R38" s="167">
        <v>0</v>
      </c>
      <c r="S38" s="167">
        <v>0</v>
      </c>
      <c r="T38" s="167">
        <v>0</v>
      </c>
      <c r="U38" s="167">
        <v>0</v>
      </c>
      <c r="V38" s="259">
        <v>0</v>
      </c>
    </row>
    <row r="39" spans="1:22" ht="15" customHeight="1">
      <c r="A39" s="57">
        <v>33</v>
      </c>
      <c r="B39" s="58" t="s">
        <v>216</v>
      </c>
      <c r="C39" s="167">
        <v>0</v>
      </c>
      <c r="D39" s="167">
        <v>0</v>
      </c>
      <c r="E39" s="167">
        <v>0</v>
      </c>
      <c r="F39" s="167">
        <v>0</v>
      </c>
      <c r="G39" s="259">
        <v>0</v>
      </c>
      <c r="H39" s="167">
        <v>0</v>
      </c>
      <c r="I39" s="167">
        <v>0</v>
      </c>
      <c r="J39" s="167">
        <v>0</v>
      </c>
      <c r="K39" s="167">
        <v>0</v>
      </c>
      <c r="L39" s="259">
        <v>0</v>
      </c>
      <c r="M39" s="167">
        <v>0</v>
      </c>
      <c r="N39" s="167">
        <v>0</v>
      </c>
      <c r="O39" s="167">
        <v>0</v>
      </c>
      <c r="P39" s="167">
        <v>0</v>
      </c>
      <c r="Q39" s="259">
        <v>0</v>
      </c>
      <c r="R39" s="167">
        <v>0</v>
      </c>
      <c r="S39" s="167">
        <v>0</v>
      </c>
      <c r="T39" s="167">
        <v>0</v>
      </c>
      <c r="U39" s="167">
        <v>0</v>
      </c>
      <c r="V39" s="259">
        <v>0</v>
      </c>
    </row>
    <row r="40" spans="1:22" ht="15" customHeight="1">
      <c r="A40" s="57">
        <v>34</v>
      </c>
      <c r="B40" s="58" t="s">
        <v>217</v>
      </c>
      <c r="C40" s="167">
        <v>0</v>
      </c>
      <c r="D40" s="167">
        <v>0</v>
      </c>
      <c r="E40" s="167">
        <v>0</v>
      </c>
      <c r="F40" s="167">
        <v>0</v>
      </c>
      <c r="G40" s="259">
        <v>0</v>
      </c>
      <c r="H40" s="167">
        <v>0</v>
      </c>
      <c r="I40" s="167">
        <v>0</v>
      </c>
      <c r="J40" s="167">
        <v>0</v>
      </c>
      <c r="K40" s="167">
        <v>0</v>
      </c>
      <c r="L40" s="259">
        <v>0</v>
      </c>
      <c r="M40" s="167">
        <v>0</v>
      </c>
      <c r="N40" s="167">
        <v>0</v>
      </c>
      <c r="O40" s="167">
        <v>0</v>
      </c>
      <c r="P40" s="167">
        <v>0</v>
      </c>
      <c r="Q40" s="259">
        <v>0</v>
      </c>
      <c r="R40" s="167">
        <v>0</v>
      </c>
      <c r="S40" s="167">
        <v>0</v>
      </c>
      <c r="T40" s="167">
        <v>0</v>
      </c>
      <c r="U40" s="167">
        <v>0</v>
      </c>
      <c r="V40" s="259">
        <v>0</v>
      </c>
    </row>
    <row r="41" spans="1:22" ht="15" customHeight="1">
      <c r="A41" s="57">
        <v>35</v>
      </c>
      <c r="B41" s="58" t="s">
        <v>218</v>
      </c>
      <c r="C41" s="167">
        <v>0</v>
      </c>
      <c r="D41" s="167">
        <v>0</v>
      </c>
      <c r="E41" s="167">
        <v>0</v>
      </c>
      <c r="F41" s="167">
        <v>0</v>
      </c>
      <c r="G41" s="259">
        <v>0</v>
      </c>
      <c r="H41" s="167">
        <v>0</v>
      </c>
      <c r="I41" s="167">
        <v>0</v>
      </c>
      <c r="J41" s="167">
        <v>0</v>
      </c>
      <c r="K41" s="167">
        <v>0</v>
      </c>
      <c r="L41" s="259">
        <v>0</v>
      </c>
      <c r="M41" s="167">
        <v>0</v>
      </c>
      <c r="N41" s="167">
        <v>0</v>
      </c>
      <c r="O41" s="167">
        <v>0</v>
      </c>
      <c r="P41" s="167">
        <v>0</v>
      </c>
      <c r="Q41" s="259">
        <v>0</v>
      </c>
      <c r="R41" s="167">
        <v>0</v>
      </c>
      <c r="S41" s="167">
        <v>0</v>
      </c>
      <c r="T41" s="167">
        <v>0</v>
      </c>
      <c r="U41" s="167">
        <v>0</v>
      </c>
      <c r="V41" s="259">
        <v>0</v>
      </c>
    </row>
    <row r="42" spans="1:22" ht="15" customHeight="1">
      <c r="A42" s="57">
        <v>36</v>
      </c>
      <c r="B42" s="58" t="s">
        <v>71</v>
      </c>
      <c r="C42" s="167">
        <v>9</v>
      </c>
      <c r="D42" s="167">
        <v>3</v>
      </c>
      <c r="E42" s="167">
        <v>69</v>
      </c>
      <c r="F42" s="167">
        <v>57</v>
      </c>
      <c r="G42" s="259">
        <v>0</v>
      </c>
      <c r="H42" s="167">
        <v>0</v>
      </c>
      <c r="I42" s="167">
        <v>0</v>
      </c>
      <c r="J42" s="167">
        <v>0</v>
      </c>
      <c r="K42" s="167">
        <v>0</v>
      </c>
      <c r="L42" s="259">
        <v>0</v>
      </c>
      <c r="M42" s="167">
        <v>0</v>
      </c>
      <c r="N42" s="167">
        <v>0</v>
      </c>
      <c r="O42" s="167">
        <v>0</v>
      </c>
      <c r="P42" s="167">
        <v>0</v>
      </c>
      <c r="Q42" s="259">
        <v>0</v>
      </c>
      <c r="R42" s="167">
        <v>0</v>
      </c>
      <c r="S42" s="167">
        <v>0</v>
      </c>
      <c r="T42" s="167">
        <v>0</v>
      </c>
      <c r="U42" s="167">
        <v>0</v>
      </c>
      <c r="V42" s="259">
        <v>0</v>
      </c>
    </row>
    <row r="43" spans="1:22" ht="15" customHeight="1">
      <c r="A43" s="57">
        <v>37</v>
      </c>
      <c r="B43" s="58" t="s">
        <v>72</v>
      </c>
      <c r="C43" s="167">
        <v>43</v>
      </c>
      <c r="D43" s="167">
        <v>53</v>
      </c>
      <c r="E43" s="167">
        <v>697</v>
      </c>
      <c r="F43" s="167">
        <v>4195</v>
      </c>
      <c r="G43" s="259">
        <f>D43*100/F43</f>
        <v>1.2634088200238378</v>
      </c>
      <c r="H43" s="167">
        <v>0</v>
      </c>
      <c r="I43" s="167">
        <v>0</v>
      </c>
      <c r="J43" s="167">
        <v>0</v>
      </c>
      <c r="K43" s="167">
        <v>0</v>
      </c>
      <c r="L43" s="259">
        <v>0</v>
      </c>
      <c r="M43" s="167">
        <v>0</v>
      </c>
      <c r="N43" s="167">
        <v>0</v>
      </c>
      <c r="O43" s="167">
        <v>0</v>
      </c>
      <c r="P43" s="167">
        <v>0</v>
      </c>
      <c r="Q43" s="259">
        <v>0</v>
      </c>
      <c r="R43" s="167">
        <v>260</v>
      </c>
      <c r="S43" s="167">
        <v>148</v>
      </c>
      <c r="T43" s="167">
        <v>5783</v>
      </c>
      <c r="U43" s="167">
        <v>2739</v>
      </c>
      <c r="V43" s="259">
        <f>S43*100/U43</f>
        <v>5.4034319094560059</v>
      </c>
    </row>
    <row r="44" spans="1:22" ht="15" customHeight="1">
      <c r="A44" s="57">
        <v>38</v>
      </c>
      <c r="B44" s="58" t="s">
        <v>219</v>
      </c>
      <c r="C44" s="167">
        <v>0</v>
      </c>
      <c r="D44" s="167">
        <v>0</v>
      </c>
      <c r="E44" s="167">
        <v>0</v>
      </c>
      <c r="F44" s="167">
        <v>0</v>
      </c>
      <c r="G44" s="259">
        <v>0</v>
      </c>
      <c r="H44" s="167">
        <v>0</v>
      </c>
      <c r="I44" s="167">
        <v>0</v>
      </c>
      <c r="J44" s="167">
        <v>0</v>
      </c>
      <c r="K44" s="167">
        <v>0</v>
      </c>
      <c r="L44" s="259">
        <v>0</v>
      </c>
      <c r="M44" s="167">
        <v>0</v>
      </c>
      <c r="N44" s="167">
        <v>0</v>
      </c>
      <c r="O44" s="167">
        <v>0</v>
      </c>
      <c r="P44" s="167">
        <v>0</v>
      </c>
      <c r="Q44" s="259">
        <v>0</v>
      </c>
      <c r="R44" s="167">
        <v>0</v>
      </c>
      <c r="S44" s="167">
        <v>0</v>
      </c>
      <c r="T44" s="167">
        <v>0</v>
      </c>
      <c r="U44" s="167">
        <v>0</v>
      </c>
      <c r="V44" s="259">
        <v>0</v>
      </c>
    </row>
    <row r="45" spans="1:22" ht="15" customHeight="1">
      <c r="A45" s="57">
        <v>39</v>
      </c>
      <c r="B45" s="58" t="s">
        <v>220</v>
      </c>
      <c r="C45" s="167">
        <v>0</v>
      </c>
      <c r="D45" s="167">
        <v>0</v>
      </c>
      <c r="E45" s="167">
        <v>0</v>
      </c>
      <c r="F45" s="167">
        <v>0</v>
      </c>
      <c r="G45" s="259">
        <v>0</v>
      </c>
      <c r="H45" s="167">
        <v>0</v>
      </c>
      <c r="I45" s="167">
        <v>0</v>
      </c>
      <c r="J45" s="167">
        <v>0</v>
      </c>
      <c r="K45" s="167">
        <v>0</v>
      </c>
      <c r="L45" s="259">
        <v>0</v>
      </c>
      <c r="M45" s="167">
        <v>0</v>
      </c>
      <c r="N45" s="167">
        <v>0</v>
      </c>
      <c r="O45" s="167">
        <v>0</v>
      </c>
      <c r="P45" s="167">
        <v>0</v>
      </c>
      <c r="Q45" s="259">
        <v>0</v>
      </c>
      <c r="R45" s="167">
        <v>0</v>
      </c>
      <c r="S45" s="167">
        <v>0</v>
      </c>
      <c r="T45" s="167">
        <v>0</v>
      </c>
      <c r="U45" s="167">
        <v>0</v>
      </c>
      <c r="V45" s="259">
        <v>0</v>
      </c>
    </row>
    <row r="46" spans="1:22" ht="15" customHeight="1">
      <c r="A46" s="57">
        <v>40</v>
      </c>
      <c r="B46" s="58" t="s">
        <v>221</v>
      </c>
      <c r="C46" s="167">
        <v>0</v>
      </c>
      <c r="D46" s="167">
        <v>0</v>
      </c>
      <c r="E46" s="167">
        <v>0</v>
      </c>
      <c r="F46" s="167">
        <v>0</v>
      </c>
      <c r="G46" s="259">
        <v>0</v>
      </c>
      <c r="H46" s="167">
        <v>0</v>
      </c>
      <c r="I46" s="167">
        <v>0</v>
      </c>
      <c r="J46" s="167">
        <v>0</v>
      </c>
      <c r="K46" s="167">
        <v>0</v>
      </c>
      <c r="L46" s="259">
        <v>0</v>
      </c>
      <c r="M46" s="167">
        <v>0</v>
      </c>
      <c r="N46" s="167">
        <v>0</v>
      </c>
      <c r="O46" s="167">
        <v>0</v>
      </c>
      <c r="P46" s="167">
        <v>0</v>
      </c>
      <c r="Q46" s="259">
        <v>0</v>
      </c>
      <c r="R46" s="167">
        <v>0</v>
      </c>
      <c r="S46" s="167">
        <v>0</v>
      </c>
      <c r="T46" s="167">
        <v>0</v>
      </c>
      <c r="U46" s="167">
        <v>0</v>
      </c>
      <c r="V46" s="259">
        <v>0</v>
      </c>
    </row>
    <row r="47" spans="1:22" ht="15" customHeight="1">
      <c r="A47" s="57">
        <v>41</v>
      </c>
      <c r="B47" s="58" t="s">
        <v>222</v>
      </c>
      <c r="C47" s="167">
        <v>0</v>
      </c>
      <c r="D47" s="167">
        <v>0</v>
      </c>
      <c r="E47" s="167">
        <v>0</v>
      </c>
      <c r="F47" s="167">
        <v>0</v>
      </c>
      <c r="G47" s="259">
        <v>0</v>
      </c>
      <c r="H47" s="167">
        <v>0</v>
      </c>
      <c r="I47" s="167">
        <v>0</v>
      </c>
      <c r="J47" s="167">
        <v>0</v>
      </c>
      <c r="K47" s="167">
        <v>0</v>
      </c>
      <c r="L47" s="259">
        <v>0</v>
      </c>
      <c r="M47" s="167">
        <v>0</v>
      </c>
      <c r="N47" s="167">
        <v>0</v>
      </c>
      <c r="O47" s="167">
        <v>0</v>
      </c>
      <c r="P47" s="167">
        <v>0</v>
      </c>
      <c r="Q47" s="259">
        <v>0</v>
      </c>
      <c r="R47" s="167">
        <v>0</v>
      </c>
      <c r="S47" s="167">
        <v>0</v>
      </c>
      <c r="T47" s="167">
        <v>0</v>
      </c>
      <c r="U47" s="167">
        <v>0</v>
      </c>
      <c r="V47" s="259">
        <v>0</v>
      </c>
    </row>
    <row r="48" spans="1:22" ht="15" customHeight="1">
      <c r="A48" s="57">
        <v>42</v>
      </c>
      <c r="B48" s="58" t="s">
        <v>223</v>
      </c>
      <c r="C48" s="167">
        <v>0</v>
      </c>
      <c r="D48" s="167">
        <v>0</v>
      </c>
      <c r="E48" s="167">
        <v>0</v>
      </c>
      <c r="F48" s="167">
        <v>0</v>
      </c>
      <c r="G48" s="259">
        <v>0</v>
      </c>
      <c r="H48" s="167">
        <v>0</v>
      </c>
      <c r="I48" s="167">
        <v>0</v>
      </c>
      <c r="J48" s="167">
        <v>0</v>
      </c>
      <c r="K48" s="167">
        <v>0</v>
      </c>
      <c r="L48" s="259">
        <v>0</v>
      </c>
      <c r="M48" s="167">
        <v>0</v>
      </c>
      <c r="N48" s="167">
        <v>0</v>
      </c>
      <c r="O48" s="167">
        <v>0</v>
      </c>
      <c r="P48" s="167">
        <v>0</v>
      </c>
      <c r="Q48" s="259">
        <v>0</v>
      </c>
      <c r="R48" s="167">
        <v>0</v>
      </c>
      <c r="S48" s="167">
        <v>0</v>
      </c>
      <c r="T48" s="167">
        <v>0</v>
      </c>
      <c r="U48" s="167">
        <v>0</v>
      </c>
      <c r="V48" s="259">
        <v>0</v>
      </c>
    </row>
    <row r="49" spans="1:22" ht="15" customHeight="1">
      <c r="A49" s="57">
        <v>43</v>
      </c>
      <c r="B49" s="58" t="s">
        <v>73</v>
      </c>
      <c r="C49" s="167">
        <v>0</v>
      </c>
      <c r="D49" s="167">
        <v>0</v>
      </c>
      <c r="E49" s="167">
        <v>0</v>
      </c>
      <c r="F49" s="167">
        <v>0</v>
      </c>
      <c r="G49" s="259">
        <v>0</v>
      </c>
      <c r="H49" s="167">
        <v>0</v>
      </c>
      <c r="I49" s="167">
        <v>0</v>
      </c>
      <c r="J49" s="167">
        <v>0</v>
      </c>
      <c r="K49" s="167">
        <v>0</v>
      </c>
      <c r="L49" s="259">
        <v>0</v>
      </c>
      <c r="M49" s="167">
        <v>0</v>
      </c>
      <c r="N49" s="167">
        <v>0</v>
      </c>
      <c r="O49" s="167">
        <v>0</v>
      </c>
      <c r="P49" s="167">
        <v>0</v>
      </c>
      <c r="Q49" s="259">
        <v>0</v>
      </c>
      <c r="R49" s="167">
        <v>0</v>
      </c>
      <c r="S49" s="167">
        <v>0</v>
      </c>
      <c r="T49" s="167">
        <v>0</v>
      </c>
      <c r="U49" s="167">
        <v>0</v>
      </c>
      <c r="V49" s="259">
        <v>0</v>
      </c>
    </row>
    <row r="50" spans="1:22" ht="15" customHeight="1">
      <c r="A50" s="57">
        <v>44</v>
      </c>
      <c r="B50" s="58" t="s">
        <v>224</v>
      </c>
      <c r="C50" s="167">
        <v>0</v>
      </c>
      <c r="D50" s="167">
        <v>0</v>
      </c>
      <c r="E50" s="167">
        <v>0</v>
      </c>
      <c r="F50" s="167">
        <v>0</v>
      </c>
      <c r="G50" s="259">
        <v>0</v>
      </c>
      <c r="H50" s="167">
        <v>0</v>
      </c>
      <c r="I50" s="167">
        <v>0</v>
      </c>
      <c r="J50" s="167">
        <v>0</v>
      </c>
      <c r="K50" s="167">
        <v>0</v>
      </c>
      <c r="L50" s="259">
        <v>0</v>
      </c>
      <c r="M50" s="167">
        <v>0</v>
      </c>
      <c r="N50" s="167">
        <v>0</v>
      </c>
      <c r="O50" s="167">
        <v>0</v>
      </c>
      <c r="P50" s="167">
        <v>0</v>
      </c>
      <c r="Q50" s="259">
        <v>0</v>
      </c>
      <c r="R50" s="167">
        <v>0</v>
      </c>
      <c r="S50" s="167">
        <v>0</v>
      </c>
      <c r="T50" s="167">
        <v>0</v>
      </c>
      <c r="U50" s="167">
        <v>0</v>
      </c>
      <c r="V50" s="259">
        <v>0</v>
      </c>
    </row>
    <row r="51" spans="1:22" ht="15" customHeight="1">
      <c r="A51" s="57">
        <v>45</v>
      </c>
      <c r="B51" s="58" t="s">
        <v>225</v>
      </c>
      <c r="C51" s="167">
        <v>0</v>
      </c>
      <c r="D51" s="167">
        <v>0</v>
      </c>
      <c r="E51" s="167">
        <v>0</v>
      </c>
      <c r="F51" s="167">
        <v>0</v>
      </c>
      <c r="G51" s="259">
        <v>0</v>
      </c>
      <c r="H51" s="167">
        <v>0</v>
      </c>
      <c r="I51" s="167">
        <v>0</v>
      </c>
      <c r="J51" s="167">
        <v>0</v>
      </c>
      <c r="K51" s="167">
        <v>0</v>
      </c>
      <c r="L51" s="259">
        <v>0</v>
      </c>
      <c r="M51" s="167">
        <v>0</v>
      </c>
      <c r="N51" s="167">
        <v>0</v>
      </c>
      <c r="O51" s="167">
        <v>0</v>
      </c>
      <c r="P51" s="167">
        <v>0</v>
      </c>
      <c r="Q51" s="259">
        <v>0</v>
      </c>
      <c r="R51" s="167">
        <v>0</v>
      </c>
      <c r="S51" s="167">
        <v>0</v>
      </c>
      <c r="T51" s="167">
        <v>0</v>
      </c>
      <c r="U51" s="167">
        <v>0</v>
      </c>
      <c r="V51" s="259">
        <v>0</v>
      </c>
    </row>
    <row r="52" spans="1:22" s="176" customFormat="1" ht="15" customHeight="1">
      <c r="A52" s="57">
        <v>46</v>
      </c>
      <c r="B52" s="58" t="s">
        <v>226</v>
      </c>
      <c r="C52" s="167">
        <v>0</v>
      </c>
      <c r="D52" s="167">
        <v>0</v>
      </c>
      <c r="E52" s="167">
        <v>0</v>
      </c>
      <c r="F52" s="167">
        <v>0</v>
      </c>
      <c r="G52" s="259">
        <v>0</v>
      </c>
      <c r="H52" s="167">
        <v>0</v>
      </c>
      <c r="I52" s="167">
        <v>0</v>
      </c>
      <c r="J52" s="167">
        <v>0</v>
      </c>
      <c r="K52" s="167">
        <v>0</v>
      </c>
      <c r="L52" s="259">
        <v>0</v>
      </c>
      <c r="M52" s="167">
        <v>0</v>
      </c>
      <c r="N52" s="167">
        <v>0</v>
      </c>
      <c r="O52" s="167">
        <v>0</v>
      </c>
      <c r="P52" s="167">
        <v>0</v>
      </c>
      <c r="Q52" s="259">
        <v>0</v>
      </c>
      <c r="R52" s="167">
        <v>0</v>
      </c>
      <c r="S52" s="167">
        <v>0</v>
      </c>
      <c r="T52" s="167">
        <v>0</v>
      </c>
      <c r="U52" s="167">
        <v>0</v>
      </c>
      <c r="V52" s="259">
        <v>0</v>
      </c>
    </row>
    <row r="53" spans="1:22" ht="15" customHeight="1">
      <c r="A53" s="57">
        <v>47</v>
      </c>
      <c r="B53" s="58" t="s">
        <v>77</v>
      </c>
      <c r="C53" s="167">
        <v>0</v>
      </c>
      <c r="D53" s="167">
        <v>0</v>
      </c>
      <c r="E53" s="167">
        <v>0</v>
      </c>
      <c r="F53" s="167">
        <v>0</v>
      </c>
      <c r="G53" s="259">
        <v>0</v>
      </c>
      <c r="H53" s="167">
        <v>0</v>
      </c>
      <c r="I53" s="167">
        <v>0</v>
      </c>
      <c r="J53" s="167">
        <v>0</v>
      </c>
      <c r="K53" s="167">
        <v>0</v>
      </c>
      <c r="L53" s="259">
        <v>0</v>
      </c>
      <c r="M53" s="167">
        <v>0</v>
      </c>
      <c r="N53" s="167">
        <v>0</v>
      </c>
      <c r="O53" s="167">
        <v>0</v>
      </c>
      <c r="P53" s="167">
        <v>0</v>
      </c>
      <c r="Q53" s="259">
        <v>0</v>
      </c>
      <c r="R53" s="167">
        <v>0</v>
      </c>
      <c r="S53" s="167">
        <v>0</v>
      </c>
      <c r="T53" s="167">
        <v>0</v>
      </c>
      <c r="U53" s="167">
        <v>0</v>
      </c>
      <c r="V53" s="259">
        <v>0</v>
      </c>
    </row>
    <row r="54" spans="1:22" ht="15" customHeight="1">
      <c r="A54" s="57">
        <v>48</v>
      </c>
      <c r="B54" s="58" t="s">
        <v>227</v>
      </c>
      <c r="C54" s="167">
        <v>0</v>
      </c>
      <c r="D54" s="167">
        <v>0</v>
      </c>
      <c r="E54" s="167">
        <v>0</v>
      </c>
      <c r="F54" s="167">
        <v>0</v>
      </c>
      <c r="G54" s="259">
        <v>0</v>
      </c>
      <c r="H54" s="167">
        <v>0</v>
      </c>
      <c r="I54" s="167">
        <v>0</v>
      </c>
      <c r="J54" s="167">
        <v>0</v>
      </c>
      <c r="K54" s="167">
        <v>0</v>
      </c>
      <c r="L54" s="259">
        <v>0</v>
      </c>
      <c r="M54" s="167">
        <v>0</v>
      </c>
      <c r="N54" s="167">
        <v>0</v>
      </c>
      <c r="O54" s="167">
        <v>0</v>
      </c>
      <c r="P54" s="167">
        <v>0</v>
      </c>
      <c r="Q54" s="259">
        <v>0</v>
      </c>
      <c r="R54" s="167">
        <v>0</v>
      </c>
      <c r="S54" s="167">
        <v>0</v>
      </c>
      <c r="T54" s="167">
        <v>0</v>
      </c>
      <c r="U54" s="167">
        <v>0</v>
      </c>
      <c r="V54" s="259">
        <v>0</v>
      </c>
    </row>
    <row r="55" spans="1:22" ht="15" customHeight="1">
      <c r="A55" s="57">
        <v>49</v>
      </c>
      <c r="B55" s="58" t="s">
        <v>76</v>
      </c>
      <c r="C55" s="167">
        <v>0</v>
      </c>
      <c r="D55" s="167">
        <v>0</v>
      </c>
      <c r="E55" s="167">
        <v>0</v>
      </c>
      <c r="F55" s="167">
        <v>0</v>
      </c>
      <c r="G55" s="259">
        <v>0</v>
      </c>
      <c r="H55" s="167">
        <v>0</v>
      </c>
      <c r="I55" s="167">
        <v>0</v>
      </c>
      <c r="J55" s="167">
        <v>0</v>
      </c>
      <c r="K55" s="167">
        <v>0</v>
      </c>
      <c r="L55" s="259">
        <v>0</v>
      </c>
      <c r="M55" s="167">
        <v>0</v>
      </c>
      <c r="N55" s="167">
        <v>0</v>
      </c>
      <c r="O55" s="167">
        <v>0</v>
      </c>
      <c r="P55" s="167">
        <v>0</v>
      </c>
      <c r="Q55" s="259">
        <v>0</v>
      </c>
      <c r="R55" s="167">
        <v>0</v>
      </c>
      <c r="S55" s="167">
        <v>0</v>
      </c>
      <c r="T55" s="167">
        <v>0</v>
      </c>
      <c r="U55" s="167">
        <v>0</v>
      </c>
      <c r="V55" s="259">
        <v>0</v>
      </c>
    </row>
    <row r="56" spans="1:22" s="176" customFormat="1" ht="15" customHeight="1">
      <c r="A56" s="521" t="s">
        <v>345</v>
      </c>
      <c r="B56" s="59" t="s">
        <v>287</v>
      </c>
      <c r="C56" s="169">
        <f>SUM(C34:C55)</f>
        <v>105</v>
      </c>
      <c r="D56" s="169">
        <f t="shared" ref="D56:U56" si="5">SUM(D34:D55)</f>
        <v>60.71</v>
      </c>
      <c r="E56" s="169">
        <f t="shared" si="5"/>
        <v>956</v>
      </c>
      <c r="F56" s="169">
        <f t="shared" si="5"/>
        <v>4619.72</v>
      </c>
      <c r="G56" s="262">
        <v>0</v>
      </c>
      <c r="H56" s="169">
        <f t="shared" si="5"/>
        <v>0</v>
      </c>
      <c r="I56" s="169">
        <f t="shared" si="5"/>
        <v>0</v>
      </c>
      <c r="J56" s="169">
        <f t="shared" si="5"/>
        <v>0</v>
      </c>
      <c r="K56" s="169">
        <f t="shared" si="5"/>
        <v>0</v>
      </c>
      <c r="L56" s="262">
        <v>0</v>
      </c>
      <c r="M56" s="169">
        <f t="shared" si="5"/>
        <v>0</v>
      </c>
      <c r="N56" s="169">
        <f t="shared" si="5"/>
        <v>0</v>
      </c>
      <c r="O56" s="169">
        <f t="shared" si="5"/>
        <v>0</v>
      </c>
      <c r="P56" s="169">
        <f t="shared" si="5"/>
        <v>0</v>
      </c>
      <c r="Q56" s="262">
        <v>0</v>
      </c>
      <c r="R56" s="169">
        <f t="shared" si="5"/>
        <v>260</v>
      </c>
      <c r="S56" s="169">
        <f t="shared" si="5"/>
        <v>148</v>
      </c>
      <c r="T56" s="169">
        <f t="shared" si="5"/>
        <v>5808</v>
      </c>
      <c r="U56" s="169">
        <f t="shared" si="5"/>
        <v>2945.57</v>
      </c>
      <c r="V56" s="262">
        <v>0</v>
      </c>
    </row>
    <row r="57" spans="1:22" ht="15" customHeight="1">
      <c r="A57" s="57">
        <v>50</v>
      </c>
      <c r="B57" s="58" t="s">
        <v>46</v>
      </c>
      <c r="C57" s="167">
        <v>893</v>
      </c>
      <c r="D57" s="167">
        <v>617</v>
      </c>
      <c r="E57" s="167">
        <v>3672</v>
      </c>
      <c r="F57" s="167">
        <v>2488</v>
      </c>
      <c r="G57" s="259">
        <f t="shared" si="0"/>
        <v>24.79903536977492</v>
      </c>
      <c r="H57" s="167">
        <v>29</v>
      </c>
      <c r="I57" s="167">
        <v>39</v>
      </c>
      <c r="J57" s="167">
        <v>317</v>
      </c>
      <c r="K57" s="167">
        <v>1038</v>
      </c>
      <c r="L57" s="259">
        <f t="shared" si="1"/>
        <v>3.7572254335260116</v>
      </c>
      <c r="M57" s="167">
        <v>13241</v>
      </c>
      <c r="N57" s="167">
        <v>5861.4</v>
      </c>
      <c r="O57" s="167">
        <v>146037</v>
      </c>
      <c r="P57" s="167">
        <v>58368.23</v>
      </c>
      <c r="Q57" s="259">
        <f t="shared" si="2"/>
        <v>10.042106810502904</v>
      </c>
      <c r="R57" s="167">
        <v>3639</v>
      </c>
      <c r="S57" s="167">
        <v>1102</v>
      </c>
      <c r="T57" s="167">
        <v>13859</v>
      </c>
      <c r="U57" s="167">
        <v>3606</v>
      </c>
      <c r="V57" s="259">
        <f t="shared" si="3"/>
        <v>30.560177481974488</v>
      </c>
    </row>
    <row r="58" spans="1:22" s="176" customFormat="1" ht="15" customHeight="1">
      <c r="A58" s="57">
        <v>51</v>
      </c>
      <c r="B58" s="58" t="s">
        <v>228</v>
      </c>
      <c r="C58" s="167">
        <v>4547</v>
      </c>
      <c r="D58" s="167">
        <v>1517</v>
      </c>
      <c r="E58" s="167">
        <v>14106</v>
      </c>
      <c r="F58" s="167">
        <v>5248</v>
      </c>
      <c r="G58" s="259">
        <f t="shared" si="0"/>
        <v>28.90625</v>
      </c>
      <c r="H58" s="167">
        <v>12</v>
      </c>
      <c r="I58" s="167">
        <v>5</v>
      </c>
      <c r="J58" s="167">
        <v>96</v>
      </c>
      <c r="K58" s="167">
        <v>170</v>
      </c>
      <c r="L58" s="259">
        <f t="shared" si="1"/>
        <v>2.9411764705882355</v>
      </c>
      <c r="M58" s="167">
        <v>9569</v>
      </c>
      <c r="N58" s="167">
        <v>6751</v>
      </c>
      <c r="O58" s="167">
        <v>59687</v>
      </c>
      <c r="P58" s="167">
        <v>45761</v>
      </c>
      <c r="Q58" s="259">
        <f t="shared" si="2"/>
        <v>14.752737046830271</v>
      </c>
      <c r="R58" s="167">
        <v>138</v>
      </c>
      <c r="S58" s="167">
        <v>35.03</v>
      </c>
      <c r="T58" s="167">
        <v>6927</v>
      </c>
      <c r="U58" s="167">
        <v>1539.41</v>
      </c>
      <c r="V58" s="259">
        <f t="shared" si="3"/>
        <v>2.2755471251973156</v>
      </c>
    </row>
    <row r="59" spans="1:22" s="176" customFormat="1" ht="15" customHeight="1">
      <c r="A59" s="57">
        <v>52</v>
      </c>
      <c r="B59" s="58" t="s">
        <v>52</v>
      </c>
      <c r="C59" s="167">
        <v>537</v>
      </c>
      <c r="D59" s="167">
        <v>301.19</v>
      </c>
      <c r="E59" s="167">
        <v>1912</v>
      </c>
      <c r="F59" s="167">
        <v>3516.19</v>
      </c>
      <c r="G59" s="259">
        <f t="shared" si="0"/>
        <v>8.5658056020863498</v>
      </c>
      <c r="H59" s="167">
        <v>178</v>
      </c>
      <c r="I59" s="167">
        <v>349.12</v>
      </c>
      <c r="J59" s="167">
        <v>1723</v>
      </c>
      <c r="K59" s="167">
        <v>1322.21</v>
      </c>
      <c r="L59" s="259">
        <f t="shared" si="1"/>
        <v>26.404277686600462</v>
      </c>
      <c r="M59" s="167">
        <v>3090</v>
      </c>
      <c r="N59" s="167">
        <v>2312.1999999999998</v>
      </c>
      <c r="O59" s="167">
        <v>62755</v>
      </c>
      <c r="P59" s="167">
        <v>46614.83</v>
      </c>
      <c r="Q59" s="259">
        <f t="shared" si="2"/>
        <v>4.9602240317083632</v>
      </c>
      <c r="R59" s="167">
        <v>5012</v>
      </c>
      <c r="S59" s="167">
        <v>1145.21</v>
      </c>
      <c r="T59" s="167">
        <v>18124</v>
      </c>
      <c r="U59" s="167">
        <v>16542.740000000002</v>
      </c>
      <c r="V59" s="259">
        <f t="shared" si="3"/>
        <v>6.9227346860314549</v>
      </c>
    </row>
    <row r="60" spans="1:22" s="176" customFormat="1" ht="15" customHeight="1">
      <c r="A60" s="263" t="s">
        <v>345</v>
      </c>
      <c r="B60" s="264" t="s">
        <v>293</v>
      </c>
      <c r="C60" s="169">
        <f>SUM(C57:C59)</f>
        <v>5977</v>
      </c>
      <c r="D60" s="169">
        <f t="shared" ref="D60:U60" si="6">SUM(D57:D59)</f>
        <v>2435.19</v>
      </c>
      <c r="E60" s="169">
        <f t="shared" si="6"/>
        <v>19690</v>
      </c>
      <c r="F60" s="169">
        <f t="shared" si="6"/>
        <v>11252.19</v>
      </c>
      <c r="G60" s="262">
        <f t="shared" si="0"/>
        <v>21.641920372834086</v>
      </c>
      <c r="H60" s="169">
        <f t="shared" si="6"/>
        <v>219</v>
      </c>
      <c r="I60" s="169">
        <f t="shared" si="6"/>
        <v>393.12</v>
      </c>
      <c r="J60" s="169">
        <f t="shared" si="6"/>
        <v>2136</v>
      </c>
      <c r="K60" s="169">
        <f t="shared" si="6"/>
        <v>2530.21</v>
      </c>
      <c r="L60" s="262">
        <f t="shared" si="1"/>
        <v>15.537050284363747</v>
      </c>
      <c r="M60" s="169">
        <f t="shared" si="6"/>
        <v>25900</v>
      </c>
      <c r="N60" s="169">
        <f t="shared" si="6"/>
        <v>14924.599999999999</v>
      </c>
      <c r="O60" s="169">
        <f t="shared" si="6"/>
        <v>268479</v>
      </c>
      <c r="P60" s="169">
        <f t="shared" si="6"/>
        <v>150744.06</v>
      </c>
      <c r="Q60" s="262">
        <f t="shared" si="2"/>
        <v>9.9006222865431628</v>
      </c>
      <c r="R60" s="169">
        <f t="shared" si="6"/>
        <v>8789</v>
      </c>
      <c r="S60" s="169">
        <f t="shared" si="6"/>
        <v>2282.2399999999998</v>
      </c>
      <c r="T60" s="169">
        <f t="shared" si="6"/>
        <v>38910</v>
      </c>
      <c r="U60" s="169">
        <f t="shared" si="6"/>
        <v>21688.15</v>
      </c>
      <c r="V60" s="262">
        <f t="shared" si="3"/>
        <v>10.522981443783815</v>
      </c>
    </row>
    <row r="61" spans="1:22" ht="15" customHeight="1">
      <c r="A61" s="260">
        <v>53</v>
      </c>
      <c r="B61" s="261" t="s">
        <v>288</v>
      </c>
      <c r="C61" s="167"/>
      <c r="D61" s="167"/>
      <c r="E61" s="167"/>
      <c r="F61" s="167"/>
      <c r="G61" s="259">
        <v>0</v>
      </c>
      <c r="H61" s="167"/>
      <c r="I61" s="167"/>
      <c r="J61" s="167"/>
      <c r="K61" s="167"/>
      <c r="L61" s="259">
        <v>0</v>
      </c>
      <c r="M61" s="167">
        <v>1470</v>
      </c>
      <c r="N61" s="167">
        <v>1107</v>
      </c>
      <c r="O61" s="167">
        <v>16117</v>
      </c>
      <c r="P61" s="167">
        <v>12088</v>
      </c>
      <c r="Q61" s="259">
        <f t="shared" si="2"/>
        <v>9.1578424884182663</v>
      </c>
      <c r="R61" s="167"/>
      <c r="S61" s="167"/>
      <c r="T61" s="167"/>
      <c r="U61" s="167"/>
      <c r="V61" s="259">
        <v>0</v>
      </c>
    </row>
    <row r="62" spans="1:22" s="176" customFormat="1" ht="15" customHeight="1">
      <c r="A62" s="263" t="s">
        <v>345</v>
      </c>
      <c r="B62" s="264" t="s">
        <v>289</v>
      </c>
      <c r="C62" s="169">
        <f>C61</f>
        <v>0</v>
      </c>
      <c r="D62" s="169">
        <f t="shared" ref="D62:U62" si="7">D61</f>
        <v>0</v>
      </c>
      <c r="E62" s="169">
        <f t="shared" si="7"/>
        <v>0</v>
      </c>
      <c r="F62" s="169">
        <f t="shared" si="7"/>
        <v>0</v>
      </c>
      <c r="G62" s="262">
        <v>0</v>
      </c>
      <c r="H62" s="169">
        <f t="shared" si="7"/>
        <v>0</v>
      </c>
      <c r="I62" s="169">
        <f t="shared" si="7"/>
        <v>0</v>
      </c>
      <c r="J62" s="169">
        <f t="shared" si="7"/>
        <v>0</v>
      </c>
      <c r="K62" s="169">
        <f t="shared" si="7"/>
        <v>0</v>
      </c>
      <c r="L62" s="262">
        <v>0</v>
      </c>
      <c r="M62" s="169">
        <f t="shared" si="7"/>
        <v>1470</v>
      </c>
      <c r="N62" s="169">
        <f t="shared" si="7"/>
        <v>1107</v>
      </c>
      <c r="O62" s="169">
        <v>16117</v>
      </c>
      <c r="P62" s="169">
        <v>12088</v>
      </c>
      <c r="Q62" s="262">
        <v>0</v>
      </c>
      <c r="R62" s="169">
        <f t="shared" si="7"/>
        <v>0</v>
      </c>
      <c r="S62" s="169">
        <f t="shared" si="7"/>
        <v>0</v>
      </c>
      <c r="T62" s="169">
        <f t="shared" si="7"/>
        <v>0</v>
      </c>
      <c r="U62" s="169">
        <f t="shared" si="7"/>
        <v>0</v>
      </c>
      <c r="V62" s="262">
        <v>0</v>
      </c>
    </row>
    <row r="63" spans="1:22" s="176" customFormat="1" ht="15" customHeight="1">
      <c r="A63" s="263" t="s">
        <v>345</v>
      </c>
      <c r="B63" s="264" t="s">
        <v>290</v>
      </c>
      <c r="C63" s="169">
        <f>C62+C60+C56+C33</f>
        <v>15915</v>
      </c>
      <c r="D63" s="169">
        <f t="shared" ref="D63:U63" si="8">D62+D60+D56+D33</f>
        <v>14359.59</v>
      </c>
      <c r="E63" s="169">
        <f t="shared" si="8"/>
        <v>94846</v>
      </c>
      <c r="F63" s="169">
        <f t="shared" si="8"/>
        <v>247111.73</v>
      </c>
      <c r="G63" s="262">
        <f t="shared" si="0"/>
        <v>5.8109706083155173</v>
      </c>
      <c r="H63" s="169">
        <f t="shared" si="8"/>
        <v>2999</v>
      </c>
      <c r="I63" s="169">
        <f t="shared" si="8"/>
        <v>5860.5</v>
      </c>
      <c r="J63" s="169">
        <f t="shared" si="8"/>
        <v>15917</v>
      </c>
      <c r="K63" s="169">
        <f t="shared" si="8"/>
        <v>61919.289999999986</v>
      </c>
      <c r="L63" s="262">
        <f t="shared" si="1"/>
        <v>9.4647403095222842</v>
      </c>
      <c r="M63" s="169">
        <f t="shared" si="8"/>
        <v>62679</v>
      </c>
      <c r="N63" s="169">
        <f t="shared" si="8"/>
        <v>41141.19</v>
      </c>
      <c r="O63" s="169">
        <f t="shared" si="8"/>
        <v>665687</v>
      </c>
      <c r="P63" s="169">
        <f t="shared" si="8"/>
        <v>446083.39</v>
      </c>
      <c r="Q63" s="262">
        <f t="shared" si="2"/>
        <v>9.2227576552446831</v>
      </c>
      <c r="R63" s="169">
        <f t="shared" si="8"/>
        <v>13974</v>
      </c>
      <c r="S63" s="169">
        <f t="shared" si="8"/>
        <v>6072.46</v>
      </c>
      <c r="T63" s="169">
        <f t="shared" si="8"/>
        <v>74591</v>
      </c>
      <c r="U63" s="169">
        <f t="shared" si="8"/>
        <v>49747.630000000005</v>
      </c>
      <c r="V63" s="262">
        <f t="shared" si="3"/>
        <v>12.206531245810101</v>
      </c>
    </row>
    <row r="64" spans="1:22" ht="15" customHeight="1">
      <c r="A64" s="656" t="s">
        <v>777</v>
      </c>
      <c r="B64" s="656"/>
      <c r="C64" s="656"/>
      <c r="D64" s="656"/>
      <c r="E64" s="656"/>
      <c r="F64" s="656"/>
      <c r="G64" s="656"/>
      <c r="H64" s="656"/>
      <c r="I64" s="656"/>
      <c r="J64" s="656"/>
      <c r="K64" s="656"/>
      <c r="L64" s="656"/>
      <c r="M64" s="656"/>
      <c r="N64" s="656"/>
      <c r="O64" s="656"/>
      <c r="P64" s="656"/>
      <c r="Q64" s="656"/>
      <c r="R64" s="656"/>
      <c r="S64" s="656"/>
      <c r="T64" s="656"/>
      <c r="U64" s="656"/>
      <c r="V64" s="656"/>
    </row>
    <row r="65" spans="13:21">
      <c r="U65" s="28"/>
    </row>
    <row r="70" spans="13:21">
      <c r="M70" s="247"/>
    </row>
  </sheetData>
  <autoFilter ref="A4:V64">
    <filterColumn colId="2" showButton="0"/>
    <filterColumn colId="4" showButton="0"/>
    <filterColumn colId="7" showButton="0"/>
    <filterColumn colId="9" showButton="0"/>
    <filterColumn colId="12" showButton="0"/>
    <filterColumn colId="14" showButton="0"/>
    <filterColumn colId="17" showButton="0"/>
    <filterColumn colId="19" showButton="0"/>
  </autoFilter>
  <mergeCells count="20">
    <mergeCell ref="A64:V64"/>
    <mergeCell ref="W6:X9"/>
    <mergeCell ref="N3:O3"/>
    <mergeCell ref="O4:P4"/>
    <mergeCell ref="E4:F4"/>
    <mergeCell ref="H4:I4"/>
    <mergeCell ref="R4:S4"/>
    <mergeCell ref="Q4:Q5"/>
    <mergeCell ref="J4:K4"/>
    <mergeCell ref="M4:N4"/>
    <mergeCell ref="T4:U4"/>
    <mergeCell ref="G4:G5"/>
    <mergeCell ref="L4:L5"/>
    <mergeCell ref="V4:V5"/>
    <mergeCell ref="J3:K3"/>
    <mergeCell ref="A1:V1"/>
    <mergeCell ref="A2:V2"/>
    <mergeCell ref="A4:A5"/>
    <mergeCell ref="B4:B5"/>
    <mergeCell ref="C4:D4"/>
  </mergeCells>
  <conditionalFormatting sqref="J3">
    <cfRule type="cellIs" dxfId="76" priority="21" operator="lessThan">
      <formula>0</formula>
    </cfRule>
  </conditionalFormatting>
  <conditionalFormatting sqref="P3">
    <cfRule type="cellIs" dxfId="75" priority="20" operator="lessThan">
      <formula>0</formula>
    </cfRule>
  </conditionalFormatting>
  <conditionalFormatting sqref="N3">
    <cfRule type="cellIs" dxfId="74" priority="19" operator="lessThan">
      <formula>0</formula>
    </cfRule>
  </conditionalFormatting>
  <conditionalFormatting sqref="B6">
    <cfRule type="duplicateValues" dxfId="73" priority="13"/>
  </conditionalFormatting>
  <conditionalFormatting sqref="B22">
    <cfRule type="duplicateValues" dxfId="72" priority="14"/>
  </conditionalFormatting>
  <conditionalFormatting sqref="B33:B34 B26:B30">
    <cfRule type="duplicateValues" dxfId="71" priority="15"/>
  </conditionalFormatting>
  <conditionalFormatting sqref="B52">
    <cfRule type="duplicateValues" dxfId="70" priority="16"/>
  </conditionalFormatting>
  <conditionalFormatting sqref="B56">
    <cfRule type="duplicateValues" dxfId="69" priority="17"/>
  </conditionalFormatting>
  <conditionalFormatting sqref="B58">
    <cfRule type="duplicateValues" dxfId="68" priority="18"/>
  </conditionalFormatting>
  <conditionalFormatting sqref="G65:G1048576 G1:G63">
    <cfRule type="cellIs" dxfId="67" priority="12" stopIfTrue="1" operator="greaterThan">
      <formula>100</formula>
    </cfRule>
  </conditionalFormatting>
  <conditionalFormatting sqref="L1:L63 L65:L1048576">
    <cfRule type="cellIs" dxfId="66" priority="10" stopIfTrue="1" operator="greaterThan">
      <formula>100</formula>
    </cfRule>
  </conditionalFormatting>
  <conditionalFormatting sqref="Q1:Q63 Q65:Q1048576">
    <cfRule type="cellIs" dxfId="65" priority="8" stopIfTrue="1" operator="greaterThan">
      <formula>100</formula>
    </cfRule>
  </conditionalFormatting>
  <conditionalFormatting sqref="V1:V63 V65:V1048576">
    <cfRule type="cellIs" dxfId="64" priority="6" stopIfTrue="1" operator="greaterThan">
      <formula>100</formula>
    </cfRule>
  </conditionalFormatting>
  <conditionalFormatting sqref="G1:G1048576">
    <cfRule type="cellIs" dxfId="63" priority="3" operator="greaterThan">
      <formula>100</formula>
    </cfRule>
  </conditionalFormatting>
  <conditionalFormatting sqref="Q1:Q1048576">
    <cfRule type="cellIs" dxfId="62" priority="2" operator="greaterThan">
      <formula>100</formula>
    </cfRule>
  </conditionalFormatting>
  <conditionalFormatting sqref="L1:L1048576">
    <cfRule type="cellIs" dxfId="61" priority="1" operator="greaterThan">
      <formula>100</formula>
    </cfRule>
  </conditionalFormatting>
  <pageMargins left="0.25" right="0.25" top="0.25" bottom="0.2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0.499984740745262"/>
  </sheetPr>
  <dimension ref="A1:M69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5.42578125" style="138" customWidth="1"/>
    <col min="2" max="2" width="21.7109375" style="137" customWidth="1"/>
    <col min="3" max="3" width="8.140625" style="135" customWidth="1"/>
    <col min="4" max="5" width="9" style="135" bestFit="1" customWidth="1"/>
    <col min="6" max="6" width="8.85546875" style="135" customWidth="1"/>
    <col min="7" max="7" width="9.7109375" style="135" customWidth="1"/>
    <col min="8" max="8" width="9" style="135" bestFit="1" customWidth="1"/>
    <col min="9" max="9" width="7.85546875" style="128" customWidth="1"/>
    <col min="10" max="10" width="8.28515625" style="128" customWidth="1"/>
    <col min="11" max="11" width="8.7109375" style="128" customWidth="1"/>
    <col min="12" max="13" width="9.140625" style="137" customWidth="1"/>
    <col min="14" max="16384" width="9.140625" style="137"/>
  </cols>
  <sheetData>
    <row r="1" spans="1:13" ht="14.25" customHeight="1">
      <c r="A1" s="575" t="s">
        <v>749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</row>
    <row r="2" spans="1:13" ht="14.25">
      <c r="A2" s="571" t="s">
        <v>240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</row>
    <row r="3" spans="1:13" ht="14.25">
      <c r="B3" s="83" t="s">
        <v>12</v>
      </c>
      <c r="J3" s="581" t="s">
        <v>15</v>
      </c>
      <c r="K3" s="581"/>
    </row>
    <row r="4" spans="1:13" s="133" customFormat="1" ht="15" customHeight="1">
      <c r="A4" s="576" t="s">
        <v>2</v>
      </c>
      <c r="B4" s="576" t="s">
        <v>3</v>
      </c>
      <c r="C4" s="578" t="s">
        <v>8</v>
      </c>
      <c r="D4" s="578"/>
      <c r="E4" s="579"/>
      <c r="F4" s="580" t="s">
        <v>9</v>
      </c>
      <c r="G4" s="578"/>
      <c r="H4" s="579"/>
      <c r="I4" s="572" t="s">
        <v>10</v>
      </c>
      <c r="J4" s="573"/>
      <c r="K4" s="574"/>
    </row>
    <row r="5" spans="1:13" ht="25.5">
      <c r="A5" s="577"/>
      <c r="B5" s="577"/>
      <c r="C5" s="136" t="s">
        <v>4</v>
      </c>
      <c r="D5" s="354" t="s">
        <v>11</v>
      </c>
      <c r="E5" s="354" t="s">
        <v>6</v>
      </c>
      <c r="F5" s="354" t="s">
        <v>4</v>
      </c>
      <c r="G5" s="354" t="s">
        <v>11</v>
      </c>
      <c r="H5" s="354" t="s">
        <v>6</v>
      </c>
      <c r="I5" s="353" t="s">
        <v>4</v>
      </c>
      <c r="J5" s="353" t="s">
        <v>11</v>
      </c>
      <c r="K5" s="353" t="s">
        <v>6</v>
      </c>
    </row>
    <row r="6" spans="1:13" ht="13.5">
      <c r="A6" s="62">
        <v>1</v>
      </c>
      <c r="B6" s="63" t="s">
        <v>55</v>
      </c>
      <c r="C6" s="123">
        <v>192272</v>
      </c>
      <c r="D6" s="123">
        <v>185075</v>
      </c>
      <c r="E6" s="123">
        <v>739272</v>
      </c>
      <c r="F6" s="123">
        <v>156429</v>
      </c>
      <c r="G6" s="123">
        <v>163135</v>
      </c>
      <c r="H6" s="123">
        <v>386983</v>
      </c>
      <c r="I6" s="124">
        <f>F6*100/C6</f>
        <v>81.358180078222517</v>
      </c>
      <c r="J6" s="124">
        <f t="shared" ref="J6:K21" si="0">G6*100/D6</f>
        <v>88.145346481156281</v>
      </c>
      <c r="K6" s="124">
        <f t="shared" si="0"/>
        <v>52.346497635511696</v>
      </c>
    </row>
    <row r="7" spans="1:13" ht="13.5">
      <c r="A7" s="62">
        <v>2</v>
      </c>
      <c r="B7" s="63" t="s">
        <v>56</v>
      </c>
      <c r="C7" s="123">
        <v>221.07</v>
      </c>
      <c r="D7" s="123">
        <v>109843.92</v>
      </c>
      <c r="E7" s="123">
        <v>4130.8999999999996</v>
      </c>
      <c r="F7" s="123">
        <v>76.14</v>
      </c>
      <c r="G7" s="123">
        <v>71913.149999999994</v>
      </c>
      <c r="H7" s="123">
        <v>4452.78</v>
      </c>
      <c r="I7" s="124">
        <v>0</v>
      </c>
      <c r="J7" s="124">
        <f t="shared" si="0"/>
        <v>65.468484737252638</v>
      </c>
      <c r="K7" s="124">
        <f t="shared" si="0"/>
        <v>107.79200658452154</v>
      </c>
    </row>
    <row r="8" spans="1:13" ht="13.5">
      <c r="A8" s="62">
        <v>3</v>
      </c>
      <c r="B8" s="63" t="s">
        <v>57</v>
      </c>
      <c r="C8" s="123">
        <v>57285.56</v>
      </c>
      <c r="D8" s="123">
        <v>710728.68</v>
      </c>
      <c r="E8" s="123">
        <v>204933.76000000001</v>
      </c>
      <c r="F8" s="123">
        <v>44292.160000000003</v>
      </c>
      <c r="G8" s="123">
        <v>570308.73</v>
      </c>
      <c r="H8" s="123">
        <v>198502.11</v>
      </c>
      <c r="I8" s="124">
        <f t="shared" ref="I8:K63" si="1">F8*100/C8</f>
        <v>77.318193275932018</v>
      </c>
      <c r="J8" s="124">
        <f t="shared" si="0"/>
        <v>80.242819242921215</v>
      </c>
      <c r="K8" s="124">
        <f t="shared" si="0"/>
        <v>96.861595668766327</v>
      </c>
    </row>
    <row r="9" spans="1:13" ht="13.5">
      <c r="A9" s="62">
        <v>4</v>
      </c>
      <c r="B9" s="63" t="s">
        <v>58</v>
      </c>
      <c r="C9" s="123">
        <v>470160</v>
      </c>
      <c r="D9" s="123">
        <v>1445888</v>
      </c>
      <c r="E9" s="123">
        <v>614803</v>
      </c>
      <c r="F9" s="123">
        <v>594526</v>
      </c>
      <c r="G9" s="123">
        <v>762407</v>
      </c>
      <c r="H9" s="123">
        <v>443856</v>
      </c>
      <c r="I9" s="124">
        <f t="shared" si="1"/>
        <v>126.45184618002382</v>
      </c>
      <c r="J9" s="124">
        <f t="shared" si="0"/>
        <v>52.729326199539663</v>
      </c>
      <c r="K9" s="124">
        <f t="shared" si="0"/>
        <v>72.19483314167303</v>
      </c>
      <c r="L9" s="26"/>
      <c r="M9" s="26"/>
    </row>
    <row r="10" spans="1:13" ht="13.5">
      <c r="A10" s="62">
        <v>5</v>
      </c>
      <c r="B10" s="63" t="s">
        <v>59</v>
      </c>
      <c r="C10" s="123">
        <v>152499</v>
      </c>
      <c r="D10" s="123">
        <v>323994</v>
      </c>
      <c r="E10" s="123">
        <v>110515</v>
      </c>
      <c r="F10" s="123">
        <v>94987</v>
      </c>
      <c r="G10" s="123">
        <v>187412</v>
      </c>
      <c r="H10" s="123">
        <v>33750</v>
      </c>
      <c r="I10" s="124">
        <f t="shared" si="1"/>
        <v>62.286965816169285</v>
      </c>
      <c r="J10" s="124">
        <f t="shared" si="0"/>
        <v>57.844281066933341</v>
      </c>
      <c r="K10" s="124">
        <f t="shared" si="0"/>
        <v>30.538840881328326</v>
      </c>
      <c r="L10" s="26"/>
      <c r="M10" s="26"/>
    </row>
    <row r="11" spans="1:13" ht="13.5">
      <c r="A11" s="62">
        <v>6</v>
      </c>
      <c r="B11" s="63" t="s">
        <v>241</v>
      </c>
      <c r="C11" s="123">
        <v>0</v>
      </c>
      <c r="D11" s="123">
        <v>0</v>
      </c>
      <c r="E11" s="123">
        <v>4524</v>
      </c>
      <c r="F11" s="123">
        <v>0</v>
      </c>
      <c r="G11" s="123">
        <v>0</v>
      </c>
      <c r="H11" s="123">
        <v>687</v>
      </c>
      <c r="I11" s="124">
        <v>0</v>
      </c>
      <c r="J11" s="124">
        <v>0</v>
      </c>
      <c r="K11" s="124">
        <f t="shared" si="0"/>
        <v>15.185676392572944</v>
      </c>
      <c r="L11" s="26"/>
      <c r="M11" s="26"/>
    </row>
    <row r="12" spans="1:13" ht="13.5">
      <c r="A12" s="62">
        <v>7</v>
      </c>
      <c r="B12" s="63" t="s">
        <v>60</v>
      </c>
      <c r="C12" s="123">
        <v>25970.959999999999</v>
      </c>
      <c r="D12" s="123">
        <v>635168.04</v>
      </c>
      <c r="E12" s="123">
        <v>105146.1</v>
      </c>
      <c r="F12" s="123">
        <v>30479.16</v>
      </c>
      <c r="G12" s="123">
        <v>309525.37</v>
      </c>
      <c r="H12" s="123">
        <v>96811.37</v>
      </c>
      <c r="I12" s="124">
        <f t="shared" si="1"/>
        <v>117.35861901138811</v>
      </c>
      <c r="J12" s="124">
        <f t="shared" si="0"/>
        <v>48.731257007200803</v>
      </c>
      <c r="K12" s="124">
        <f t="shared" si="0"/>
        <v>92.073191492599335</v>
      </c>
      <c r="L12" s="26"/>
      <c r="M12" s="26"/>
    </row>
    <row r="13" spans="1:13" ht="13.5">
      <c r="A13" s="62">
        <v>8</v>
      </c>
      <c r="B13" s="63" t="s">
        <v>61</v>
      </c>
      <c r="C13" s="123">
        <v>623736</v>
      </c>
      <c r="D13" s="123">
        <v>1277424</v>
      </c>
      <c r="E13" s="123">
        <v>739141</v>
      </c>
      <c r="F13" s="123">
        <v>345055</v>
      </c>
      <c r="G13" s="123">
        <v>483703</v>
      </c>
      <c r="H13" s="123">
        <v>381251</v>
      </c>
      <c r="I13" s="124">
        <f t="shared" si="1"/>
        <v>55.320680544332859</v>
      </c>
      <c r="J13" s="124">
        <f t="shared" si="0"/>
        <v>37.865501196157268</v>
      </c>
      <c r="K13" s="124">
        <f t="shared" si="0"/>
        <v>51.580280352463198</v>
      </c>
      <c r="L13" s="26"/>
      <c r="M13" s="26"/>
    </row>
    <row r="14" spans="1:13" ht="13.5">
      <c r="A14" s="62">
        <v>9</v>
      </c>
      <c r="B14" s="63" t="s">
        <v>48</v>
      </c>
      <c r="C14" s="123">
        <v>9300</v>
      </c>
      <c r="D14" s="123">
        <v>176397</v>
      </c>
      <c r="E14" s="123">
        <v>18183</v>
      </c>
      <c r="F14" s="123">
        <v>8499</v>
      </c>
      <c r="G14" s="123">
        <v>288762</v>
      </c>
      <c r="H14" s="123">
        <v>29315</v>
      </c>
      <c r="I14" s="124">
        <f t="shared" si="1"/>
        <v>91.387096774193552</v>
      </c>
      <c r="J14" s="124">
        <f t="shared" si="0"/>
        <v>163.70006292624024</v>
      </c>
      <c r="K14" s="124">
        <f t="shared" si="0"/>
        <v>161.22202056866303</v>
      </c>
      <c r="L14" s="26"/>
      <c r="M14" s="26"/>
    </row>
    <row r="15" spans="1:13" ht="13.5">
      <c r="A15" s="62">
        <v>10</v>
      </c>
      <c r="B15" s="63" t="s">
        <v>49</v>
      </c>
      <c r="C15" s="123">
        <v>11469</v>
      </c>
      <c r="D15" s="123">
        <v>237451</v>
      </c>
      <c r="E15" s="123">
        <v>28909</v>
      </c>
      <c r="F15" s="123">
        <v>6209</v>
      </c>
      <c r="G15" s="123">
        <v>132455</v>
      </c>
      <c r="H15" s="123">
        <v>17970</v>
      </c>
      <c r="I15" s="124">
        <f t="shared" si="1"/>
        <v>54.137239515214929</v>
      </c>
      <c r="J15" s="124">
        <f t="shared" si="0"/>
        <v>55.782035030385217</v>
      </c>
      <c r="K15" s="124">
        <f t="shared" si="0"/>
        <v>62.160572831990038</v>
      </c>
      <c r="L15" s="26"/>
      <c r="M15" s="26"/>
    </row>
    <row r="16" spans="1:13" ht="13.5">
      <c r="A16" s="62">
        <v>11</v>
      </c>
      <c r="B16" s="63" t="s">
        <v>81</v>
      </c>
      <c r="C16" s="127">
        <v>5207</v>
      </c>
      <c r="D16" s="127">
        <v>639631</v>
      </c>
      <c r="E16" s="127">
        <v>59695</v>
      </c>
      <c r="F16" s="127">
        <v>10518</v>
      </c>
      <c r="G16" s="127">
        <v>330117</v>
      </c>
      <c r="H16" s="134">
        <v>40551</v>
      </c>
      <c r="I16" s="124">
        <f t="shared" si="1"/>
        <v>201.9973113116958</v>
      </c>
      <c r="J16" s="124">
        <f t="shared" si="0"/>
        <v>51.610537950787254</v>
      </c>
      <c r="K16" s="124">
        <f t="shared" si="0"/>
        <v>67.930312421475833</v>
      </c>
      <c r="L16" s="26"/>
      <c r="M16" s="26"/>
    </row>
    <row r="17" spans="1:13" ht="13.5">
      <c r="A17" s="62">
        <v>12</v>
      </c>
      <c r="B17" s="63" t="s">
        <v>62</v>
      </c>
      <c r="C17" s="123">
        <v>181.31</v>
      </c>
      <c r="D17" s="123">
        <v>81435.77</v>
      </c>
      <c r="E17" s="123">
        <v>8304.33</v>
      </c>
      <c r="F17" s="123">
        <v>0.5</v>
      </c>
      <c r="G17" s="123">
        <v>33640.370000000003</v>
      </c>
      <c r="H17" s="123">
        <v>4877.8</v>
      </c>
      <c r="I17" s="124">
        <v>0</v>
      </c>
      <c r="J17" s="124">
        <f t="shared" si="0"/>
        <v>41.309083219818518</v>
      </c>
      <c r="K17" s="124">
        <f t="shared" si="0"/>
        <v>58.738031846036947</v>
      </c>
      <c r="L17" s="26"/>
      <c r="M17" s="26"/>
    </row>
    <row r="18" spans="1:13" ht="13.5">
      <c r="A18" s="62">
        <v>13</v>
      </c>
      <c r="B18" s="63" t="s">
        <v>63</v>
      </c>
      <c r="C18" s="127">
        <v>8466</v>
      </c>
      <c r="D18" s="127">
        <v>115979</v>
      </c>
      <c r="E18" s="127">
        <v>11353</v>
      </c>
      <c r="F18" s="127">
        <v>5261</v>
      </c>
      <c r="G18" s="127">
        <v>89680</v>
      </c>
      <c r="H18" s="134">
        <v>8125</v>
      </c>
      <c r="I18" s="124">
        <f t="shared" si="1"/>
        <v>62.14268840066147</v>
      </c>
      <c r="J18" s="124">
        <f t="shared" si="0"/>
        <v>77.324343200062074</v>
      </c>
      <c r="K18" s="124">
        <f t="shared" si="0"/>
        <v>71.566986699550782</v>
      </c>
      <c r="L18" s="26"/>
      <c r="M18" s="26"/>
    </row>
    <row r="19" spans="1:13" ht="13.5">
      <c r="A19" s="62">
        <v>14</v>
      </c>
      <c r="B19" s="63" t="s">
        <v>206</v>
      </c>
      <c r="C19" s="127">
        <v>4932.37</v>
      </c>
      <c r="D19" s="127">
        <v>432685.7</v>
      </c>
      <c r="E19" s="127">
        <v>33866.76</v>
      </c>
      <c r="F19" s="127">
        <v>5107.34</v>
      </c>
      <c r="G19" s="127">
        <v>202473.07</v>
      </c>
      <c r="H19" s="134">
        <v>33205.33</v>
      </c>
      <c r="I19" s="124">
        <f t="shared" si="1"/>
        <v>103.5473818874091</v>
      </c>
      <c r="J19" s="124">
        <f t="shared" si="0"/>
        <v>46.794490781645891</v>
      </c>
      <c r="K19" s="124">
        <f t="shared" si="0"/>
        <v>98.046964043799875</v>
      </c>
      <c r="L19" s="26"/>
      <c r="M19" s="26"/>
    </row>
    <row r="20" spans="1:13" ht="13.5">
      <c r="A20" s="62">
        <v>15</v>
      </c>
      <c r="B20" s="63" t="s">
        <v>207</v>
      </c>
      <c r="C20" s="123">
        <v>11438</v>
      </c>
      <c r="D20" s="123">
        <v>108522</v>
      </c>
      <c r="E20" s="123">
        <v>33500</v>
      </c>
      <c r="F20" s="123">
        <v>5944</v>
      </c>
      <c r="G20" s="123">
        <v>46908</v>
      </c>
      <c r="H20" s="123">
        <v>14640</v>
      </c>
      <c r="I20" s="124">
        <f t="shared" si="1"/>
        <v>51.967127120125895</v>
      </c>
      <c r="J20" s="124">
        <f t="shared" si="0"/>
        <v>43.224415325924696</v>
      </c>
      <c r="K20" s="124">
        <f t="shared" si="0"/>
        <v>43.701492537313435</v>
      </c>
      <c r="L20" s="26"/>
      <c r="M20" s="26"/>
    </row>
    <row r="21" spans="1:13" ht="13.5">
      <c r="A21" s="62">
        <v>16</v>
      </c>
      <c r="B21" s="63" t="s">
        <v>64</v>
      </c>
      <c r="C21" s="123">
        <v>175199</v>
      </c>
      <c r="D21" s="123">
        <v>1592382</v>
      </c>
      <c r="E21" s="123">
        <v>376719</v>
      </c>
      <c r="F21" s="123">
        <v>176578</v>
      </c>
      <c r="G21" s="123">
        <v>1057732</v>
      </c>
      <c r="H21" s="123">
        <v>209255</v>
      </c>
      <c r="I21" s="124">
        <f t="shared" si="1"/>
        <v>100.78710494922916</v>
      </c>
      <c r="J21" s="124">
        <f t="shared" si="0"/>
        <v>66.424513715929976</v>
      </c>
      <c r="K21" s="124">
        <f t="shared" si="0"/>
        <v>55.546707227402919</v>
      </c>
      <c r="L21" s="26"/>
      <c r="M21" s="26"/>
    </row>
    <row r="22" spans="1:13" ht="13.5">
      <c r="A22" s="62">
        <v>17</v>
      </c>
      <c r="B22" s="63" t="s">
        <v>69</v>
      </c>
      <c r="C22" s="123">
        <v>0</v>
      </c>
      <c r="D22" s="123">
        <v>0</v>
      </c>
      <c r="E22" s="123">
        <v>31119</v>
      </c>
      <c r="F22" s="123">
        <v>0</v>
      </c>
      <c r="G22" s="123">
        <v>0</v>
      </c>
      <c r="H22" s="123">
        <v>25188</v>
      </c>
      <c r="I22" s="124">
        <v>0</v>
      </c>
      <c r="J22" s="124">
        <v>0</v>
      </c>
      <c r="K22" s="124">
        <f t="shared" si="1"/>
        <v>80.940904270702788</v>
      </c>
      <c r="L22" s="26"/>
      <c r="M22" s="26"/>
    </row>
    <row r="23" spans="1:13" ht="13.5">
      <c r="A23" s="62">
        <v>18</v>
      </c>
      <c r="B23" s="63" t="s">
        <v>208</v>
      </c>
      <c r="C23" s="123">
        <v>0</v>
      </c>
      <c r="D23" s="123">
        <v>0</v>
      </c>
      <c r="E23" s="123">
        <v>21977</v>
      </c>
      <c r="F23" s="123">
        <v>0</v>
      </c>
      <c r="G23" s="123">
        <v>0</v>
      </c>
      <c r="H23" s="123">
        <v>27915</v>
      </c>
      <c r="I23" s="124">
        <v>0</v>
      </c>
      <c r="J23" s="124">
        <v>0</v>
      </c>
      <c r="K23" s="124">
        <f t="shared" si="1"/>
        <v>127.01915639077217</v>
      </c>
      <c r="L23" s="26"/>
      <c r="M23" s="26"/>
    </row>
    <row r="24" spans="1:13" ht="13.5">
      <c r="A24" s="62">
        <v>19</v>
      </c>
      <c r="B24" s="63" t="s">
        <v>209</v>
      </c>
      <c r="C24" s="123">
        <v>0</v>
      </c>
      <c r="D24" s="123">
        <v>0</v>
      </c>
      <c r="E24" s="123">
        <v>52715</v>
      </c>
      <c r="F24" s="123">
        <v>0</v>
      </c>
      <c r="G24" s="123">
        <v>0</v>
      </c>
      <c r="H24" s="123">
        <v>69429</v>
      </c>
      <c r="I24" s="124">
        <v>0</v>
      </c>
      <c r="J24" s="124">
        <v>0</v>
      </c>
      <c r="K24" s="124">
        <f t="shared" si="1"/>
        <v>131.70634544247369</v>
      </c>
      <c r="L24" s="26"/>
      <c r="M24" s="26"/>
    </row>
    <row r="25" spans="1:13" ht="13.5">
      <c r="A25" s="62">
        <v>20</v>
      </c>
      <c r="B25" s="63" t="s">
        <v>210</v>
      </c>
      <c r="C25" s="123">
        <v>0</v>
      </c>
      <c r="D25" s="123">
        <v>0</v>
      </c>
      <c r="E25" s="123">
        <v>22016</v>
      </c>
      <c r="F25" s="123">
        <v>0</v>
      </c>
      <c r="G25" s="123">
        <v>0</v>
      </c>
      <c r="H25" s="123">
        <v>23416</v>
      </c>
      <c r="I25" s="124">
        <v>0</v>
      </c>
      <c r="J25" s="124">
        <v>0</v>
      </c>
      <c r="K25" s="124">
        <f t="shared" si="1"/>
        <v>106.35901162790698</v>
      </c>
      <c r="L25" s="26"/>
      <c r="M25" s="26"/>
    </row>
    <row r="26" spans="1:13" ht="13.5">
      <c r="A26" s="62">
        <v>21</v>
      </c>
      <c r="B26" s="63" t="s">
        <v>211</v>
      </c>
      <c r="C26" s="123">
        <v>0</v>
      </c>
      <c r="D26" s="123">
        <v>0</v>
      </c>
      <c r="E26" s="123">
        <v>61643</v>
      </c>
      <c r="F26" s="123">
        <v>0</v>
      </c>
      <c r="G26" s="123">
        <v>0</v>
      </c>
      <c r="H26" s="123">
        <v>30151</v>
      </c>
      <c r="I26" s="124">
        <v>0</v>
      </c>
      <c r="J26" s="124">
        <v>0</v>
      </c>
      <c r="K26" s="124">
        <f t="shared" si="1"/>
        <v>48.912285255422354</v>
      </c>
      <c r="L26" s="26"/>
      <c r="M26" s="26"/>
    </row>
    <row r="27" spans="1:13" ht="13.5">
      <c r="A27" s="62">
        <v>22</v>
      </c>
      <c r="B27" s="63" t="s">
        <v>70</v>
      </c>
      <c r="C27" s="123">
        <v>885771</v>
      </c>
      <c r="D27" s="123">
        <v>6432270</v>
      </c>
      <c r="E27" s="123">
        <v>2861559</v>
      </c>
      <c r="F27" s="123">
        <v>601762</v>
      </c>
      <c r="G27" s="123">
        <v>3788140</v>
      </c>
      <c r="H27" s="123">
        <v>1350898</v>
      </c>
      <c r="I27" s="124">
        <f t="shared" si="1"/>
        <v>67.936520838907569</v>
      </c>
      <c r="J27" s="124">
        <f t="shared" si="1"/>
        <v>58.892739266231054</v>
      </c>
      <c r="K27" s="124">
        <f t="shared" si="1"/>
        <v>47.208462240338221</v>
      </c>
      <c r="L27" s="26"/>
      <c r="M27" s="26"/>
    </row>
    <row r="28" spans="1:13" ht="13.5">
      <c r="A28" s="62">
        <v>23</v>
      </c>
      <c r="B28" s="63" t="s">
        <v>65</v>
      </c>
      <c r="C28" s="123">
        <v>17043</v>
      </c>
      <c r="D28" s="123">
        <v>202494</v>
      </c>
      <c r="E28" s="123">
        <v>31590</v>
      </c>
      <c r="F28" s="123">
        <v>12889</v>
      </c>
      <c r="G28" s="123">
        <v>124152</v>
      </c>
      <c r="H28" s="123">
        <v>20590</v>
      </c>
      <c r="I28" s="124">
        <f t="shared" si="1"/>
        <v>75.626356862054806</v>
      </c>
      <c r="J28" s="124">
        <f t="shared" si="1"/>
        <v>61.311446265074522</v>
      </c>
      <c r="K28" s="124">
        <f t="shared" si="1"/>
        <v>65.178854067742961</v>
      </c>
      <c r="L28" s="26"/>
      <c r="M28" s="26"/>
    </row>
    <row r="29" spans="1:13" ht="13.5">
      <c r="A29" s="62">
        <v>24</v>
      </c>
      <c r="B29" s="63" t="s">
        <v>212</v>
      </c>
      <c r="C29" s="123">
        <v>114834.89</v>
      </c>
      <c r="D29" s="123">
        <v>495225.52</v>
      </c>
      <c r="E29" s="123">
        <v>107657.71</v>
      </c>
      <c r="F29" s="123">
        <v>75937.179999999993</v>
      </c>
      <c r="G29" s="123">
        <v>310639.77</v>
      </c>
      <c r="H29" s="123">
        <v>66779.38</v>
      </c>
      <c r="I29" s="124">
        <f t="shared" si="1"/>
        <v>66.127271946705392</v>
      </c>
      <c r="J29" s="124">
        <f t="shared" si="1"/>
        <v>62.726930954608314</v>
      </c>
      <c r="K29" s="124">
        <f t="shared" si="1"/>
        <v>62.029352101210399</v>
      </c>
      <c r="L29" s="26"/>
      <c r="M29" s="26"/>
    </row>
    <row r="30" spans="1:13" ht="13.5">
      <c r="A30" s="62">
        <v>25</v>
      </c>
      <c r="B30" s="63" t="s">
        <v>66</v>
      </c>
      <c r="C30" s="123">
        <v>309537.21000000002</v>
      </c>
      <c r="D30" s="123">
        <v>1407039.48</v>
      </c>
      <c r="E30" s="123">
        <v>444748.24</v>
      </c>
      <c r="F30" s="123">
        <v>135799.37</v>
      </c>
      <c r="G30" s="123">
        <v>671990.84</v>
      </c>
      <c r="H30" s="123">
        <v>168334.06</v>
      </c>
      <c r="I30" s="124">
        <f t="shared" si="1"/>
        <v>43.871743238882324</v>
      </c>
      <c r="J30" s="124">
        <f t="shared" si="1"/>
        <v>47.759202890312643</v>
      </c>
      <c r="K30" s="124">
        <f t="shared" si="1"/>
        <v>37.849291994949773</v>
      </c>
      <c r="L30" s="26"/>
      <c r="M30" s="26"/>
    </row>
    <row r="31" spans="1:13" ht="13.5">
      <c r="A31" s="62">
        <v>26</v>
      </c>
      <c r="B31" s="63" t="s">
        <v>67</v>
      </c>
      <c r="C31" s="123">
        <v>0</v>
      </c>
      <c r="D31" s="123">
        <v>0</v>
      </c>
      <c r="E31" s="123">
        <v>31054</v>
      </c>
      <c r="F31" s="123">
        <v>0</v>
      </c>
      <c r="G31" s="123">
        <v>0</v>
      </c>
      <c r="H31" s="123">
        <v>28907</v>
      </c>
      <c r="I31" s="124">
        <v>0</v>
      </c>
      <c r="J31" s="124">
        <v>0</v>
      </c>
      <c r="K31" s="124">
        <f t="shared" si="1"/>
        <v>93.086236877696919</v>
      </c>
      <c r="L31" s="26"/>
      <c r="M31" s="26"/>
    </row>
    <row r="32" spans="1:13" ht="13.5">
      <c r="A32" s="62">
        <v>27</v>
      </c>
      <c r="B32" s="63" t="s">
        <v>50</v>
      </c>
      <c r="C32" s="123">
        <v>2681</v>
      </c>
      <c r="D32" s="123">
        <v>18490</v>
      </c>
      <c r="E32" s="123">
        <v>107428</v>
      </c>
      <c r="F32" s="123">
        <v>3447</v>
      </c>
      <c r="G32" s="123">
        <v>17044</v>
      </c>
      <c r="H32" s="123">
        <v>69957</v>
      </c>
      <c r="I32" s="124">
        <f t="shared" si="1"/>
        <v>128.57142857142858</v>
      </c>
      <c r="J32" s="124">
        <f t="shared" si="1"/>
        <v>92.179556517036232</v>
      </c>
      <c r="K32" s="124">
        <f t="shared" si="1"/>
        <v>65.119894254756673</v>
      </c>
      <c r="L32" s="26"/>
      <c r="M32" s="26"/>
    </row>
    <row r="33" spans="1:13" ht="13.5">
      <c r="A33" s="62"/>
      <c r="B33" s="74" t="s">
        <v>292</v>
      </c>
      <c r="C33" s="125">
        <f>SUM(C6:C32)</f>
        <v>3078204.37</v>
      </c>
      <c r="D33" s="125">
        <f t="shared" ref="D33:H33" si="2">SUM(D6:D32)</f>
        <v>16628124.109999999</v>
      </c>
      <c r="E33" s="125">
        <f t="shared" si="2"/>
        <v>6866502.7999999998</v>
      </c>
      <c r="F33" s="125">
        <f t="shared" si="2"/>
        <v>2313795.85</v>
      </c>
      <c r="G33" s="125">
        <f t="shared" si="2"/>
        <v>9642138.2999999989</v>
      </c>
      <c r="H33" s="125">
        <f t="shared" si="2"/>
        <v>3785796.8300000005</v>
      </c>
      <c r="I33" s="126">
        <f t="shared" si="1"/>
        <v>75.167064037401772</v>
      </c>
      <c r="J33" s="126">
        <f t="shared" si="1"/>
        <v>57.986927666731248</v>
      </c>
      <c r="K33" s="126">
        <f t="shared" si="1"/>
        <v>55.134279272412158</v>
      </c>
      <c r="L33" s="26"/>
      <c r="M33" s="26"/>
    </row>
    <row r="34" spans="1:13" ht="13.5">
      <c r="A34" s="62">
        <v>28</v>
      </c>
      <c r="B34" s="63" t="s">
        <v>47</v>
      </c>
      <c r="C34" s="123">
        <v>35911.519999999997</v>
      </c>
      <c r="D34" s="123">
        <v>97756.39</v>
      </c>
      <c r="E34" s="123">
        <v>669968.35</v>
      </c>
      <c r="F34" s="123">
        <v>9713.1200000000008</v>
      </c>
      <c r="G34" s="123">
        <v>42207.58</v>
      </c>
      <c r="H34" s="123">
        <v>576719.80000000005</v>
      </c>
      <c r="I34" s="124">
        <f t="shared" si="1"/>
        <v>27.047365302276265</v>
      </c>
      <c r="J34" s="124">
        <f t="shared" si="1"/>
        <v>43.176287504070068</v>
      </c>
      <c r="K34" s="124">
        <f t="shared" si="1"/>
        <v>86.081648483842571</v>
      </c>
      <c r="L34" s="26"/>
      <c r="M34" s="26"/>
    </row>
    <row r="35" spans="1:13" ht="15" customHeight="1">
      <c r="A35" s="62">
        <v>29</v>
      </c>
      <c r="B35" s="78" t="s">
        <v>214</v>
      </c>
      <c r="C35" s="123">
        <v>3070.64</v>
      </c>
      <c r="D35" s="123">
        <v>37077.129999999997</v>
      </c>
      <c r="E35" s="123">
        <v>4649.09</v>
      </c>
      <c r="F35" s="123">
        <v>12570.76</v>
      </c>
      <c r="G35" s="123">
        <v>45932.47</v>
      </c>
      <c r="H35" s="123">
        <v>15567.59</v>
      </c>
      <c r="I35" s="124">
        <f t="shared" si="1"/>
        <v>409.38566552901028</v>
      </c>
      <c r="J35" s="124">
        <f t="shared" si="1"/>
        <v>123.88356380334724</v>
      </c>
      <c r="K35" s="124">
        <f t="shared" si="1"/>
        <v>334.85241197739771</v>
      </c>
      <c r="L35" s="26"/>
      <c r="M35" s="26"/>
    </row>
    <row r="36" spans="1:13" ht="13.5">
      <c r="A36" s="62">
        <v>30</v>
      </c>
      <c r="B36" s="63" t="s">
        <v>215</v>
      </c>
      <c r="C36" s="123">
        <v>0</v>
      </c>
      <c r="D36" s="123">
        <v>0</v>
      </c>
      <c r="E36" s="123">
        <v>3755</v>
      </c>
      <c r="F36" s="123">
        <v>0</v>
      </c>
      <c r="G36" s="123">
        <v>0</v>
      </c>
      <c r="H36" s="123">
        <v>678</v>
      </c>
      <c r="I36" s="124">
        <v>0</v>
      </c>
      <c r="J36" s="124">
        <v>0</v>
      </c>
      <c r="K36" s="124">
        <f t="shared" si="1"/>
        <v>18.055925432756325</v>
      </c>
      <c r="L36" s="26"/>
      <c r="M36" s="26"/>
    </row>
    <row r="37" spans="1:13" ht="13.5">
      <c r="A37" s="62">
        <v>31</v>
      </c>
      <c r="B37" s="63" t="s">
        <v>78</v>
      </c>
      <c r="C37" s="123">
        <v>0</v>
      </c>
      <c r="D37" s="123">
        <v>0</v>
      </c>
      <c r="E37" s="123">
        <v>3753</v>
      </c>
      <c r="F37" s="123">
        <v>0</v>
      </c>
      <c r="G37" s="123">
        <v>0</v>
      </c>
      <c r="H37" s="123">
        <v>1</v>
      </c>
      <c r="I37" s="124">
        <v>0</v>
      </c>
      <c r="J37" s="124">
        <v>0</v>
      </c>
      <c r="K37" s="124">
        <f t="shared" si="1"/>
        <v>2.664535038635758E-2</v>
      </c>
      <c r="L37" s="26"/>
      <c r="M37" s="26"/>
    </row>
    <row r="38" spans="1:13" ht="13.5">
      <c r="A38" s="62">
        <v>32</v>
      </c>
      <c r="B38" s="63" t="s">
        <v>51</v>
      </c>
      <c r="C38" s="123">
        <v>0</v>
      </c>
      <c r="D38" s="123">
        <v>0</v>
      </c>
      <c r="E38" s="123">
        <v>5112.91</v>
      </c>
      <c r="F38" s="123">
        <v>0</v>
      </c>
      <c r="G38" s="123">
        <v>0</v>
      </c>
      <c r="H38" s="123">
        <v>9412.56</v>
      </c>
      <c r="I38" s="124">
        <v>0</v>
      </c>
      <c r="J38" s="124">
        <v>0</v>
      </c>
      <c r="K38" s="124">
        <f t="shared" ref="K38:K47" si="3">H38*100/E38</f>
        <v>184.09398952846814</v>
      </c>
      <c r="L38" s="26"/>
      <c r="M38" s="26"/>
    </row>
    <row r="39" spans="1:13" ht="13.5">
      <c r="A39" s="62">
        <v>33</v>
      </c>
      <c r="B39" s="63" t="s">
        <v>216</v>
      </c>
      <c r="C39" s="123">
        <v>2403.85</v>
      </c>
      <c r="D39" s="123">
        <v>3362</v>
      </c>
      <c r="E39" s="123">
        <v>6348</v>
      </c>
      <c r="F39" s="123">
        <v>11035.97</v>
      </c>
      <c r="G39" s="123">
        <v>16463.53</v>
      </c>
      <c r="H39" s="123">
        <v>28879</v>
      </c>
      <c r="I39" s="124">
        <v>0</v>
      </c>
      <c r="J39" s="124">
        <v>0</v>
      </c>
      <c r="K39" s="124">
        <f t="shared" si="3"/>
        <v>454.93068683049779</v>
      </c>
      <c r="L39" s="26"/>
      <c r="M39" s="26"/>
    </row>
    <row r="40" spans="1:13" ht="13.5">
      <c r="A40" s="62">
        <v>34</v>
      </c>
      <c r="B40" s="63" t="s">
        <v>217</v>
      </c>
      <c r="C40" s="123">
        <v>0</v>
      </c>
      <c r="D40" s="123">
        <v>0</v>
      </c>
      <c r="E40" s="123">
        <v>834</v>
      </c>
      <c r="F40" s="123">
        <v>0</v>
      </c>
      <c r="G40" s="123">
        <v>0</v>
      </c>
      <c r="H40" s="123">
        <v>41</v>
      </c>
      <c r="I40" s="124">
        <v>0</v>
      </c>
      <c r="J40" s="124">
        <v>0</v>
      </c>
      <c r="K40" s="124">
        <f t="shared" si="3"/>
        <v>4.9160671462829733</v>
      </c>
      <c r="L40" s="26"/>
      <c r="M40" s="26"/>
    </row>
    <row r="41" spans="1:13" ht="13.5">
      <c r="A41" s="62">
        <v>35</v>
      </c>
      <c r="B41" s="63" t="s">
        <v>218</v>
      </c>
      <c r="C41" s="123">
        <v>672</v>
      </c>
      <c r="D41" s="123">
        <v>1230</v>
      </c>
      <c r="E41" s="123">
        <f>21171+26441+40</f>
        <v>47652</v>
      </c>
      <c r="F41" s="123">
        <v>1418</v>
      </c>
      <c r="G41" s="123">
        <v>15662</v>
      </c>
      <c r="H41" s="123">
        <v>1284</v>
      </c>
      <c r="I41" s="124">
        <v>0</v>
      </c>
      <c r="J41" s="124">
        <v>0</v>
      </c>
      <c r="K41" s="124">
        <f t="shared" si="3"/>
        <v>2.6945353815159909</v>
      </c>
      <c r="L41" s="26"/>
      <c r="M41" s="26"/>
    </row>
    <row r="42" spans="1:13" ht="13.5">
      <c r="A42" s="62">
        <v>36</v>
      </c>
      <c r="B42" s="63" t="s">
        <v>71</v>
      </c>
      <c r="C42" s="123">
        <v>4630</v>
      </c>
      <c r="D42" s="123">
        <v>667948</v>
      </c>
      <c r="E42" s="123">
        <v>98816</v>
      </c>
      <c r="F42" s="123">
        <v>4998</v>
      </c>
      <c r="G42" s="123">
        <v>1080296</v>
      </c>
      <c r="H42" s="123">
        <v>226166</v>
      </c>
      <c r="I42" s="124">
        <f t="shared" si="1"/>
        <v>107.94816414686825</v>
      </c>
      <c r="J42" s="124">
        <f>G42*100/D42</f>
        <v>161.73354812051238</v>
      </c>
      <c r="K42" s="124">
        <f t="shared" si="3"/>
        <v>228.87589054404145</v>
      </c>
      <c r="L42" s="26"/>
      <c r="M42" s="26"/>
    </row>
    <row r="43" spans="1:13" ht="15" customHeight="1">
      <c r="A43" s="62">
        <v>37</v>
      </c>
      <c r="B43" s="63" t="s">
        <v>72</v>
      </c>
      <c r="C43" s="123">
        <v>729</v>
      </c>
      <c r="D43" s="123">
        <v>277032</v>
      </c>
      <c r="E43" s="123">
        <v>451654</v>
      </c>
      <c r="F43" s="123">
        <v>3891</v>
      </c>
      <c r="G43" s="123">
        <v>616454</v>
      </c>
      <c r="H43" s="123">
        <v>491385</v>
      </c>
      <c r="I43" s="124">
        <f t="shared" si="1"/>
        <v>533.74485596707814</v>
      </c>
      <c r="J43" s="124">
        <f>G43*100/D43</f>
        <v>222.52086401570938</v>
      </c>
      <c r="K43" s="124">
        <f t="shared" si="3"/>
        <v>108.79677806462469</v>
      </c>
      <c r="L43" s="26"/>
      <c r="M43" s="26"/>
    </row>
    <row r="44" spans="1:13" ht="13.5">
      <c r="A44" s="62">
        <v>38</v>
      </c>
      <c r="B44" s="63" t="s">
        <v>219</v>
      </c>
      <c r="C44" s="123">
        <v>1434</v>
      </c>
      <c r="D44" s="123">
        <v>3919</v>
      </c>
      <c r="E44" s="123"/>
      <c r="F44" s="123">
        <v>6197</v>
      </c>
      <c r="G44" s="123">
        <v>4432</v>
      </c>
      <c r="H44" s="123">
        <v>8261</v>
      </c>
      <c r="I44" s="124">
        <f t="shared" ref="I44" si="4">F44*100/C44</f>
        <v>432.1478382147838</v>
      </c>
      <c r="J44" s="124">
        <f>G44*100/D44</f>
        <v>113.09007399846899</v>
      </c>
      <c r="K44" s="124" t="e">
        <f t="shared" si="3"/>
        <v>#DIV/0!</v>
      </c>
      <c r="L44" s="26"/>
      <c r="M44" s="26"/>
    </row>
    <row r="45" spans="1:13" ht="13.5">
      <c r="A45" s="62">
        <v>39</v>
      </c>
      <c r="B45" s="63" t="s">
        <v>220</v>
      </c>
      <c r="C45" s="123">
        <v>2828</v>
      </c>
      <c r="D45" s="123">
        <v>112939</v>
      </c>
      <c r="E45" s="123">
        <v>6263</v>
      </c>
      <c r="F45" s="123">
        <v>12411</v>
      </c>
      <c r="G45" s="123">
        <v>248044</v>
      </c>
      <c r="H45" s="123">
        <v>29945</v>
      </c>
      <c r="I45" s="124">
        <f>F45*100/C45</f>
        <v>438.86138613861385</v>
      </c>
      <c r="J45" s="124">
        <f>G45*100/D45</f>
        <v>219.62652405280727</v>
      </c>
      <c r="K45" s="124">
        <f t="shared" si="3"/>
        <v>478.1254989621587</v>
      </c>
      <c r="L45" s="26"/>
      <c r="M45" s="26"/>
    </row>
    <row r="46" spans="1:13" ht="13.5">
      <c r="A46" s="62">
        <v>40</v>
      </c>
      <c r="B46" s="63" t="s">
        <v>221</v>
      </c>
      <c r="C46" s="123">
        <v>0</v>
      </c>
      <c r="D46" s="123">
        <v>0</v>
      </c>
      <c r="E46" s="123">
        <v>14464</v>
      </c>
      <c r="F46" s="123">
        <v>0</v>
      </c>
      <c r="G46" s="123">
        <v>0</v>
      </c>
      <c r="H46" s="123">
        <v>3224</v>
      </c>
      <c r="I46" s="124">
        <v>0</v>
      </c>
      <c r="J46" s="124">
        <v>0</v>
      </c>
      <c r="K46" s="124">
        <f t="shared" si="3"/>
        <v>22.289823008849556</v>
      </c>
      <c r="L46" s="26"/>
      <c r="M46" s="26"/>
    </row>
    <row r="47" spans="1:13" ht="13.5">
      <c r="A47" s="62">
        <v>41</v>
      </c>
      <c r="B47" s="63" t="s">
        <v>222</v>
      </c>
      <c r="C47" s="123">
        <v>0</v>
      </c>
      <c r="D47" s="123">
        <v>0</v>
      </c>
      <c r="E47" s="123">
        <v>21171</v>
      </c>
      <c r="F47" s="123">
        <v>0</v>
      </c>
      <c r="G47" s="123">
        <v>0</v>
      </c>
      <c r="H47" s="123">
        <v>35486</v>
      </c>
      <c r="I47" s="124">
        <v>0</v>
      </c>
      <c r="J47" s="124">
        <v>0</v>
      </c>
      <c r="K47" s="124">
        <f t="shared" si="3"/>
        <v>167.61607859808228</v>
      </c>
      <c r="L47" s="26"/>
      <c r="M47" s="26"/>
    </row>
    <row r="48" spans="1:13" ht="13.5">
      <c r="A48" s="62">
        <v>42</v>
      </c>
      <c r="B48" s="63" t="s">
        <v>223</v>
      </c>
      <c r="C48" s="123">
        <v>0</v>
      </c>
      <c r="D48" s="123">
        <v>0</v>
      </c>
      <c r="E48" s="123">
        <v>21489</v>
      </c>
      <c r="F48" s="123">
        <v>0</v>
      </c>
      <c r="G48" s="123">
        <v>0</v>
      </c>
      <c r="H48" s="123">
        <v>15667</v>
      </c>
      <c r="I48" s="124">
        <v>0</v>
      </c>
      <c r="J48" s="124">
        <v>0</v>
      </c>
      <c r="K48" s="124">
        <f t="shared" si="1"/>
        <v>72.90706873284006</v>
      </c>
      <c r="L48" s="26"/>
      <c r="M48" s="26"/>
    </row>
    <row r="49" spans="1:13" ht="13.5">
      <c r="A49" s="62">
        <v>43</v>
      </c>
      <c r="B49" s="63" t="s">
        <v>73</v>
      </c>
      <c r="C49" s="123">
        <v>2123</v>
      </c>
      <c r="D49" s="123">
        <v>129035</v>
      </c>
      <c r="E49" s="123">
        <v>9852</v>
      </c>
      <c r="F49" s="123">
        <v>21829</v>
      </c>
      <c r="G49" s="123">
        <v>183980</v>
      </c>
      <c r="H49" s="123">
        <v>25790</v>
      </c>
      <c r="I49" s="124">
        <v>0</v>
      </c>
      <c r="J49" s="124">
        <v>0</v>
      </c>
      <c r="K49" s="124">
        <f t="shared" si="1"/>
        <v>261.77425903369874</v>
      </c>
      <c r="L49" s="26"/>
      <c r="M49" s="26"/>
    </row>
    <row r="50" spans="1:13" ht="13.5">
      <c r="A50" s="62">
        <v>44</v>
      </c>
      <c r="B50" s="63" t="s">
        <v>224</v>
      </c>
      <c r="C50" s="123">
        <v>0</v>
      </c>
      <c r="D50" s="123">
        <v>13000</v>
      </c>
      <c r="E50" s="123">
        <v>338</v>
      </c>
      <c r="F50" s="123">
        <v>0</v>
      </c>
      <c r="G50" s="123">
        <v>5086</v>
      </c>
      <c r="H50" s="123">
        <v>809</v>
      </c>
      <c r="I50" s="124">
        <v>0</v>
      </c>
      <c r="J50" s="124">
        <v>0</v>
      </c>
      <c r="K50" s="124">
        <f t="shared" si="1"/>
        <v>239.3491124260355</v>
      </c>
      <c r="L50" s="26"/>
      <c r="M50" s="26"/>
    </row>
    <row r="51" spans="1:13" ht="13.5">
      <c r="A51" s="62">
        <v>45</v>
      </c>
      <c r="B51" s="63" t="s">
        <v>225</v>
      </c>
      <c r="C51" s="123">
        <v>656</v>
      </c>
      <c r="D51" s="123">
        <v>21421</v>
      </c>
      <c r="E51" s="123">
        <v>5094</v>
      </c>
      <c r="F51" s="123">
        <v>10740</v>
      </c>
      <c r="G51" s="123">
        <v>35554</v>
      </c>
      <c r="H51" s="123">
        <v>22618</v>
      </c>
      <c r="I51" s="124">
        <v>0</v>
      </c>
      <c r="J51" s="124">
        <v>0</v>
      </c>
      <c r="K51" s="124">
        <f t="shared" si="1"/>
        <v>444.01256380054969</v>
      </c>
      <c r="L51" s="26"/>
      <c r="M51" s="26"/>
    </row>
    <row r="52" spans="1:13" ht="13.5">
      <c r="A52" s="62">
        <v>46</v>
      </c>
      <c r="B52" s="63" t="s">
        <v>226</v>
      </c>
      <c r="C52" s="123">
        <v>0</v>
      </c>
      <c r="D52" s="123">
        <v>0</v>
      </c>
      <c r="E52" s="123">
        <v>14177.01</v>
      </c>
      <c r="F52" s="123">
        <v>0</v>
      </c>
      <c r="G52" s="123">
        <v>0</v>
      </c>
      <c r="H52" s="123">
        <v>5960.2</v>
      </c>
      <c r="I52" s="124">
        <v>0</v>
      </c>
      <c r="J52" s="124">
        <v>0</v>
      </c>
      <c r="K52" s="124">
        <f t="shared" si="1"/>
        <v>42.04130490138612</v>
      </c>
      <c r="L52" s="26"/>
      <c r="M52" s="26"/>
    </row>
    <row r="53" spans="1:13" ht="13.5">
      <c r="A53" s="62">
        <v>47</v>
      </c>
      <c r="B53" s="63" t="s">
        <v>77</v>
      </c>
      <c r="C53" s="123">
        <v>0</v>
      </c>
      <c r="D53" s="123">
        <v>0</v>
      </c>
      <c r="E53" s="123">
        <v>4190</v>
      </c>
      <c r="F53" s="123">
        <v>0</v>
      </c>
      <c r="G53" s="123">
        <v>0</v>
      </c>
      <c r="H53" s="123">
        <v>1974</v>
      </c>
      <c r="I53" s="124">
        <v>0</v>
      </c>
      <c r="J53" s="124">
        <v>0</v>
      </c>
      <c r="K53" s="124">
        <f t="shared" si="1"/>
        <v>47.112171837708829</v>
      </c>
      <c r="L53" s="26"/>
      <c r="M53" s="26"/>
    </row>
    <row r="54" spans="1:13" ht="13.5">
      <c r="A54" s="62">
        <v>48</v>
      </c>
      <c r="B54" s="63" t="s">
        <v>227</v>
      </c>
      <c r="C54" s="123">
        <v>0</v>
      </c>
      <c r="D54" s="123">
        <v>605.53</v>
      </c>
      <c r="E54" s="123">
        <v>1007.51</v>
      </c>
      <c r="F54" s="123">
        <v>0</v>
      </c>
      <c r="G54" s="123">
        <v>352.5</v>
      </c>
      <c r="H54" s="123">
        <v>4904.4799999999996</v>
      </c>
      <c r="I54" s="124">
        <v>0</v>
      </c>
      <c r="J54" s="124">
        <v>0</v>
      </c>
      <c r="K54" s="124">
        <f t="shared" si="1"/>
        <v>486.79219064823172</v>
      </c>
      <c r="L54" s="26"/>
      <c r="M54" s="26"/>
    </row>
    <row r="55" spans="1:13" ht="13.5">
      <c r="A55" s="62">
        <v>49</v>
      </c>
      <c r="B55" s="63" t="s">
        <v>76</v>
      </c>
      <c r="C55" s="123">
        <v>365.36</v>
      </c>
      <c r="D55" s="123">
        <v>181560.53</v>
      </c>
      <c r="E55" s="123">
        <v>5058.3599999999997</v>
      </c>
      <c r="F55" s="123">
        <v>0</v>
      </c>
      <c r="G55" s="123">
        <v>81334.03</v>
      </c>
      <c r="H55" s="123">
        <v>8918.8700000000008</v>
      </c>
      <c r="I55" s="124">
        <v>0</v>
      </c>
      <c r="J55" s="124">
        <v>0</v>
      </c>
      <c r="K55" s="124">
        <f t="shared" si="1"/>
        <v>176.31939996362462</v>
      </c>
      <c r="L55" s="26"/>
      <c r="M55" s="26"/>
    </row>
    <row r="56" spans="1:13" ht="13.5">
      <c r="A56" s="62"/>
      <c r="B56" s="74" t="s">
        <v>287</v>
      </c>
      <c r="C56" s="125">
        <f>SUM(C34:C55)</f>
        <v>54823.369999999995</v>
      </c>
      <c r="D56" s="125">
        <f t="shared" ref="D56:H56" si="5">SUM(D34:D55)</f>
        <v>1546885.58</v>
      </c>
      <c r="E56" s="125">
        <f t="shared" si="5"/>
        <v>1395646.2300000002</v>
      </c>
      <c r="F56" s="125">
        <f t="shared" si="5"/>
        <v>94803.85</v>
      </c>
      <c r="G56" s="125">
        <f t="shared" si="5"/>
        <v>2375798.11</v>
      </c>
      <c r="H56" s="125">
        <f t="shared" si="5"/>
        <v>1513691.5000000002</v>
      </c>
      <c r="I56" s="126">
        <f t="shared" si="1"/>
        <v>172.92598028906286</v>
      </c>
      <c r="J56" s="126">
        <f t="shared" si="1"/>
        <v>153.5858980597647</v>
      </c>
      <c r="K56" s="126">
        <f t="shared" si="1"/>
        <v>108.4581083273517</v>
      </c>
      <c r="L56" s="26"/>
      <c r="M56" s="26"/>
    </row>
    <row r="57" spans="1:13" ht="13.5">
      <c r="A57" s="62">
        <v>51</v>
      </c>
      <c r="B57" s="63" t="s">
        <v>46</v>
      </c>
      <c r="C57" s="123">
        <v>263757.64</v>
      </c>
      <c r="D57" s="123">
        <v>174530.68</v>
      </c>
      <c r="E57" s="123">
        <v>258148.68</v>
      </c>
      <c r="F57" s="123">
        <v>209478.36</v>
      </c>
      <c r="G57" s="123">
        <v>51836.76</v>
      </c>
      <c r="H57" s="123">
        <v>138782.74</v>
      </c>
      <c r="I57" s="124">
        <f t="shared" si="1"/>
        <v>79.420774313873906</v>
      </c>
      <c r="J57" s="124">
        <f t="shared" si="1"/>
        <v>29.700657786928925</v>
      </c>
      <c r="K57" s="124">
        <f t="shared" si="1"/>
        <v>53.760778478510915</v>
      </c>
      <c r="L57" s="26"/>
      <c r="M57" s="26"/>
    </row>
    <row r="58" spans="1:13" ht="13.5">
      <c r="A58" s="62">
        <v>52</v>
      </c>
      <c r="B58" s="63" t="s">
        <v>228</v>
      </c>
      <c r="C58" s="123">
        <v>336729</v>
      </c>
      <c r="D58" s="123">
        <v>184722</v>
      </c>
      <c r="E58" s="123">
        <v>142031</v>
      </c>
      <c r="F58" s="123">
        <v>168566</v>
      </c>
      <c r="G58" s="123">
        <v>68413</v>
      </c>
      <c r="H58" s="123">
        <v>22635</v>
      </c>
      <c r="I58" s="124">
        <f t="shared" si="1"/>
        <v>50.059840405786254</v>
      </c>
      <c r="J58" s="124">
        <f t="shared" si="1"/>
        <v>37.035653576726105</v>
      </c>
      <c r="K58" s="124">
        <f t="shared" si="1"/>
        <v>15.936661714696088</v>
      </c>
      <c r="L58" s="26"/>
      <c r="M58" s="26"/>
    </row>
    <row r="59" spans="1:13" ht="13.5">
      <c r="A59" s="62">
        <v>53</v>
      </c>
      <c r="B59" s="63" t="s">
        <v>52</v>
      </c>
      <c r="C59" s="123">
        <v>228257.18</v>
      </c>
      <c r="D59" s="123">
        <v>145110.67000000001</v>
      </c>
      <c r="E59" s="123">
        <v>220759.71</v>
      </c>
      <c r="F59" s="123">
        <v>251733.74</v>
      </c>
      <c r="G59" s="123">
        <v>54342.17</v>
      </c>
      <c r="H59" s="123">
        <v>142626.28</v>
      </c>
      <c r="I59" s="124">
        <f t="shared" si="1"/>
        <v>110.28513538982651</v>
      </c>
      <c r="J59" s="124">
        <f t="shared" si="1"/>
        <v>37.448776165115902</v>
      </c>
      <c r="K59" s="124">
        <f t="shared" si="1"/>
        <v>64.607024533598093</v>
      </c>
      <c r="L59" s="26"/>
      <c r="M59" s="26"/>
    </row>
    <row r="60" spans="1:13" ht="13.5">
      <c r="A60" s="62"/>
      <c r="B60" s="74" t="s">
        <v>293</v>
      </c>
      <c r="C60" s="125">
        <f>SUM(C57:C59)</f>
        <v>828743.82000000007</v>
      </c>
      <c r="D60" s="125">
        <f t="shared" ref="D60:H60" si="6">SUM(D57:D59)</f>
        <v>504363.35</v>
      </c>
      <c r="E60" s="125">
        <f t="shared" si="6"/>
        <v>620939.39</v>
      </c>
      <c r="F60" s="125">
        <f t="shared" si="6"/>
        <v>629778.1</v>
      </c>
      <c r="G60" s="125">
        <f t="shared" si="6"/>
        <v>174591.93</v>
      </c>
      <c r="H60" s="125">
        <f t="shared" si="6"/>
        <v>304044.02</v>
      </c>
      <c r="I60" s="126">
        <f t="shared" si="1"/>
        <v>75.991890956121992</v>
      </c>
      <c r="J60" s="126">
        <f t="shared" si="1"/>
        <v>34.616299935354149</v>
      </c>
      <c r="K60" s="126">
        <f t="shared" si="1"/>
        <v>48.965168726049093</v>
      </c>
      <c r="L60" s="26"/>
      <c r="M60" s="26"/>
    </row>
    <row r="61" spans="1:13" ht="13.5">
      <c r="A61" s="62">
        <v>53</v>
      </c>
      <c r="B61" s="63" t="s">
        <v>288</v>
      </c>
      <c r="C61" s="123">
        <v>754909</v>
      </c>
      <c r="D61" s="123">
        <v>1194637</v>
      </c>
      <c r="E61" s="123">
        <v>218593</v>
      </c>
      <c r="F61" s="123">
        <v>1104409.75</v>
      </c>
      <c r="G61" s="123">
        <v>1747719.13</v>
      </c>
      <c r="H61" s="123">
        <v>319795.42</v>
      </c>
      <c r="I61" s="124">
        <f t="shared" si="1"/>
        <v>146.29707024290346</v>
      </c>
      <c r="J61" s="124">
        <f t="shared" si="1"/>
        <v>146.29708689752619</v>
      </c>
      <c r="K61" s="124">
        <f t="shared" si="1"/>
        <v>146.29719158435998</v>
      </c>
      <c r="L61" s="26"/>
      <c r="M61" s="26"/>
    </row>
    <row r="62" spans="1:13" ht="13.5">
      <c r="A62" s="62"/>
      <c r="B62" s="74" t="s">
        <v>289</v>
      </c>
      <c r="C62" s="125">
        <f>C61</f>
        <v>754909</v>
      </c>
      <c r="D62" s="125">
        <f t="shared" ref="D62:H62" si="7">D61</f>
        <v>1194637</v>
      </c>
      <c r="E62" s="125">
        <f t="shared" si="7"/>
        <v>218593</v>
      </c>
      <c r="F62" s="125">
        <f t="shared" si="7"/>
        <v>1104409.75</v>
      </c>
      <c r="G62" s="125">
        <f t="shared" si="7"/>
        <v>1747719.13</v>
      </c>
      <c r="H62" s="125">
        <f t="shared" si="7"/>
        <v>319795.42</v>
      </c>
      <c r="I62" s="126">
        <f t="shared" si="1"/>
        <v>146.29707024290346</v>
      </c>
      <c r="J62" s="126">
        <f t="shared" si="1"/>
        <v>146.29708689752619</v>
      </c>
      <c r="K62" s="126">
        <f t="shared" si="1"/>
        <v>146.29719158435998</v>
      </c>
      <c r="L62" s="26"/>
      <c r="M62" s="26"/>
    </row>
    <row r="63" spans="1:13" ht="13.5">
      <c r="A63" s="62"/>
      <c r="B63" s="74" t="s">
        <v>0</v>
      </c>
      <c r="C63" s="125">
        <f>C62+C60+C56+C33</f>
        <v>4716680.5600000005</v>
      </c>
      <c r="D63" s="125">
        <f t="shared" ref="D63:H63" si="8">D62+D60+D56+D33</f>
        <v>19874010.039999999</v>
      </c>
      <c r="E63" s="125">
        <f t="shared" si="8"/>
        <v>9101681.4199999999</v>
      </c>
      <c r="F63" s="125">
        <f t="shared" si="8"/>
        <v>4142787.5500000003</v>
      </c>
      <c r="G63" s="125">
        <f t="shared" si="8"/>
        <v>13940247.469999999</v>
      </c>
      <c r="H63" s="125">
        <f t="shared" si="8"/>
        <v>5923327.7700000014</v>
      </c>
      <c r="I63" s="126">
        <f t="shared" si="1"/>
        <v>87.83269287161562</v>
      </c>
      <c r="J63" s="126">
        <f t="shared" si="1"/>
        <v>70.143103691417878</v>
      </c>
      <c r="K63" s="126">
        <f t="shared" si="1"/>
        <v>65.079489125867482</v>
      </c>
      <c r="L63" s="26"/>
      <c r="M63" s="26"/>
    </row>
    <row r="64" spans="1:13" ht="15" customHeight="1">
      <c r="C64" s="570" t="s">
        <v>1207</v>
      </c>
      <c r="D64" s="570"/>
      <c r="E64" s="570"/>
      <c r="F64" s="570"/>
      <c r="G64" s="570"/>
      <c r="J64" s="128" t="s">
        <v>1206</v>
      </c>
    </row>
    <row r="65" spans="3:11" ht="15" customHeight="1"/>
    <row r="66" spans="3:11">
      <c r="I66" s="135"/>
      <c r="J66" s="135"/>
      <c r="K66" s="135"/>
    </row>
    <row r="69" spans="3:11">
      <c r="C69" s="128"/>
      <c r="D69" s="128"/>
      <c r="E69" s="128"/>
      <c r="F69" s="128"/>
      <c r="G69" s="128"/>
      <c r="H69" s="128"/>
    </row>
  </sheetData>
  <sheetProtection formatCells="0" formatColumns="0" formatRows="0" insertColumns="0" insertRows="0" insertHyperlinks="0" deleteColumns="0" deleteRows="0" selectLockedCells="1" sort="0" autoFilter="0" pivotTables="0"/>
  <autoFilter ref="B4:K63">
    <filterColumn colId="1" showButton="0"/>
    <filterColumn colId="2" showButton="0"/>
    <filterColumn colId="4" showButton="0"/>
    <filterColumn colId="5" showButton="0"/>
    <filterColumn colId="7" showButton="0"/>
    <filterColumn colId="8" showButton="0"/>
  </autoFilter>
  <mergeCells count="9">
    <mergeCell ref="C64:G64"/>
    <mergeCell ref="A2:K2"/>
    <mergeCell ref="I4:K4"/>
    <mergeCell ref="A1:K1"/>
    <mergeCell ref="A4:A5"/>
    <mergeCell ref="B4:B5"/>
    <mergeCell ref="C4:E4"/>
    <mergeCell ref="F4:H4"/>
    <mergeCell ref="J3:K3"/>
  </mergeCells>
  <phoneticPr fontId="9" type="noConversion"/>
  <pageMargins left="1" right="0.25" top="0.5" bottom="0.5" header="0.3" footer="0.3"/>
  <pageSetup scale="78" orientation="portrait" r:id="rId1"/>
  <headerFooter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7030A0"/>
  </sheetPr>
  <dimension ref="A1:M6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" sqref="G1:I1048576"/>
    </sheetView>
  </sheetViews>
  <sheetFormatPr defaultRowHeight="18.75"/>
  <cols>
    <col min="1" max="1" width="5.7109375" style="41" bestFit="1" customWidth="1"/>
    <col min="2" max="2" width="27.42578125" style="38" customWidth="1"/>
    <col min="3" max="3" width="17.85546875" style="40" customWidth="1"/>
    <col min="4" max="4" width="11.85546875" style="40" customWidth="1"/>
    <col min="5" max="5" width="15.7109375" style="40" customWidth="1"/>
    <col min="6" max="6" width="14.85546875" style="40" customWidth="1"/>
    <col min="7" max="7" width="10" style="38" bestFit="1" customWidth="1"/>
    <col min="8" max="8" width="17.5703125" style="32" customWidth="1"/>
    <col min="9" max="9" width="11.5703125" style="32" bestFit="1" customWidth="1"/>
    <col min="10" max="10" width="9.28515625" style="32" bestFit="1" customWidth="1"/>
    <col min="11" max="11" width="11.85546875" style="32" bestFit="1" customWidth="1"/>
    <col min="12" max="12" width="10.42578125" style="32" bestFit="1" customWidth="1"/>
    <col min="13" max="13" width="13.140625" style="32" bestFit="1" customWidth="1"/>
    <col min="14" max="16384" width="9.140625" style="38"/>
  </cols>
  <sheetData>
    <row r="1" spans="1:9">
      <c r="A1" s="662" t="s">
        <v>766</v>
      </c>
      <c r="B1" s="662"/>
      <c r="C1" s="662"/>
      <c r="D1" s="662"/>
      <c r="E1" s="662"/>
      <c r="F1" s="662"/>
    </row>
    <row r="2" spans="1:9">
      <c r="A2" s="663"/>
      <c r="B2" s="663"/>
      <c r="C2" s="663"/>
      <c r="D2" s="663"/>
      <c r="E2" s="663"/>
      <c r="F2" s="663"/>
    </row>
    <row r="3" spans="1:9" ht="14.25" customHeight="1">
      <c r="A3" s="39"/>
      <c r="B3" s="184" t="s">
        <v>12</v>
      </c>
      <c r="F3" s="185" t="s">
        <v>174</v>
      </c>
    </row>
    <row r="4" spans="1:9" ht="30" customHeight="1">
      <c r="A4" s="664" t="s">
        <v>230</v>
      </c>
      <c r="B4" s="664" t="s">
        <v>3</v>
      </c>
      <c r="C4" s="665" t="s">
        <v>779</v>
      </c>
      <c r="D4" s="665" t="s">
        <v>25</v>
      </c>
      <c r="E4" s="666" t="s">
        <v>767</v>
      </c>
      <c r="F4" s="666" t="s">
        <v>45</v>
      </c>
    </row>
    <row r="5" spans="1:9" ht="30" customHeight="1">
      <c r="A5" s="664"/>
      <c r="B5" s="664"/>
      <c r="C5" s="665"/>
      <c r="D5" s="665"/>
      <c r="E5" s="666"/>
      <c r="F5" s="666"/>
    </row>
    <row r="6" spans="1:9" ht="15" customHeight="1">
      <c r="A6" s="181">
        <v>1</v>
      </c>
      <c r="B6" s="182" t="s">
        <v>55</v>
      </c>
      <c r="C6" s="183">
        <v>18568</v>
      </c>
      <c r="D6" s="183">
        <v>84567</v>
      </c>
      <c r="E6" s="183">
        <v>62874</v>
      </c>
      <c r="F6" s="183">
        <v>105221</v>
      </c>
    </row>
    <row r="7" spans="1:9" ht="15" customHeight="1">
      <c r="A7" s="166">
        <v>2</v>
      </c>
      <c r="B7" s="170" t="s">
        <v>56</v>
      </c>
      <c r="C7" s="177">
        <v>375</v>
      </c>
      <c r="D7" s="177">
        <v>813.24</v>
      </c>
      <c r="E7" s="177">
        <v>1315</v>
      </c>
      <c r="F7" s="177">
        <v>2712.11</v>
      </c>
    </row>
    <row r="8" spans="1:9" ht="15" customHeight="1">
      <c r="A8" s="166">
        <v>3</v>
      </c>
      <c r="B8" s="170" t="s">
        <v>57</v>
      </c>
      <c r="C8" s="177">
        <v>5186</v>
      </c>
      <c r="D8" s="177">
        <v>11962</v>
      </c>
      <c r="E8" s="177">
        <v>31444</v>
      </c>
      <c r="F8" s="177">
        <v>57997.37</v>
      </c>
    </row>
    <row r="9" spans="1:9" ht="15" customHeight="1">
      <c r="A9" s="181">
        <v>4</v>
      </c>
      <c r="B9" s="170" t="s">
        <v>58</v>
      </c>
      <c r="C9" s="177">
        <v>8956</v>
      </c>
      <c r="D9" s="177">
        <v>42960</v>
      </c>
      <c r="E9" s="177">
        <v>334587</v>
      </c>
      <c r="F9" s="177">
        <v>654982</v>
      </c>
    </row>
    <row r="10" spans="1:9" ht="15" customHeight="1">
      <c r="A10" s="166">
        <v>5</v>
      </c>
      <c r="B10" s="170" t="s">
        <v>59</v>
      </c>
      <c r="C10" s="177">
        <v>8684</v>
      </c>
      <c r="D10" s="177">
        <v>17168</v>
      </c>
      <c r="E10" s="177">
        <v>41203</v>
      </c>
      <c r="F10" s="177">
        <v>66765</v>
      </c>
    </row>
    <row r="11" spans="1:9" ht="15" customHeight="1">
      <c r="A11" s="166">
        <v>6</v>
      </c>
      <c r="B11" s="178" t="s">
        <v>241</v>
      </c>
      <c r="C11" s="177">
        <v>0</v>
      </c>
      <c r="D11" s="177">
        <v>0</v>
      </c>
      <c r="E11" s="177">
        <v>0</v>
      </c>
      <c r="F11" s="177">
        <v>0</v>
      </c>
    </row>
    <row r="12" spans="1:9" ht="15" customHeight="1">
      <c r="A12" s="181">
        <v>7</v>
      </c>
      <c r="B12" s="170" t="s">
        <v>60</v>
      </c>
      <c r="C12" s="177">
        <v>3734</v>
      </c>
      <c r="D12" s="177">
        <v>6446.53</v>
      </c>
      <c r="E12" s="177">
        <v>24508</v>
      </c>
      <c r="F12" s="177">
        <v>49698.44</v>
      </c>
    </row>
    <row r="13" spans="1:9" ht="15" customHeight="1">
      <c r="A13" s="166">
        <v>8</v>
      </c>
      <c r="B13" s="170" t="s">
        <v>61</v>
      </c>
      <c r="C13" s="177">
        <v>80327</v>
      </c>
      <c r="D13" s="177">
        <v>130521</v>
      </c>
      <c r="E13" s="177">
        <v>234049</v>
      </c>
      <c r="F13" s="177">
        <v>336642</v>
      </c>
      <c r="G13" s="545"/>
      <c r="H13" s="545"/>
      <c r="I13" s="546"/>
    </row>
    <row r="14" spans="1:9" ht="15" customHeight="1">
      <c r="A14" s="166">
        <v>9</v>
      </c>
      <c r="B14" s="170" t="s">
        <v>48</v>
      </c>
      <c r="C14" s="177">
        <v>2306</v>
      </c>
      <c r="D14" s="177">
        <v>7081</v>
      </c>
      <c r="E14" s="177">
        <v>8164</v>
      </c>
      <c r="F14" s="177">
        <v>23678</v>
      </c>
    </row>
    <row r="15" spans="1:9" ht="15" customHeight="1">
      <c r="A15" s="181">
        <v>10</v>
      </c>
      <c r="B15" s="170" t="s">
        <v>49</v>
      </c>
      <c r="C15" s="177">
        <v>7424</v>
      </c>
      <c r="D15" s="177">
        <v>11636</v>
      </c>
      <c r="E15" s="177">
        <v>8192</v>
      </c>
      <c r="F15" s="177">
        <v>16055</v>
      </c>
    </row>
    <row r="16" spans="1:9" ht="15" customHeight="1">
      <c r="A16" s="166">
        <v>11</v>
      </c>
      <c r="B16" s="170" t="s">
        <v>81</v>
      </c>
      <c r="C16" s="177">
        <v>3197</v>
      </c>
      <c r="D16" s="177">
        <v>7894</v>
      </c>
      <c r="E16" s="177">
        <v>11605</v>
      </c>
      <c r="F16" s="177">
        <v>24192</v>
      </c>
    </row>
    <row r="17" spans="1:6" ht="15" customHeight="1">
      <c r="A17" s="166">
        <v>12</v>
      </c>
      <c r="B17" s="170" t="s">
        <v>62</v>
      </c>
      <c r="C17" s="177">
        <v>1850</v>
      </c>
      <c r="D17" s="177">
        <v>2958</v>
      </c>
      <c r="E17" s="177">
        <v>1850</v>
      </c>
      <c r="F17" s="177">
        <v>2158</v>
      </c>
    </row>
    <row r="18" spans="1:6" ht="15" customHeight="1">
      <c r="A18" s="181">
        <v>13</v>
      </c>
      <c r="B18" s="170" t="s">
        <v>63</v>
      </c>
      <c r="C18" s="177">
        <v>53</v>
      </c>
      <c r="D18" s="177">
        <v>227</v>
      </c>
      <c r="E18" s="177">
        <v>1836</v>
      </c>
      <c r="F18" s="177">
        <v>3171</v>
      </c>
    </row>
    <row r="19" spans="1:6" ht="15" customHeight="1">
      <c r="A19" s="166">
        <v>14</v>
      </c>
      <c r="B19" s="90" t="s">
        <v>206</v>
      </c>
      <c r="C19" s="177">
        <v>344</v>
      </c>
      <c r="D19" s="177">
        <v>929.75</v>
      </c>
      <c r="E19" s="177">
        <v>8352</v>
      </c>
      <c r="F19" s="177">
        <v>20250.080000000002</v>
      </c>
    </row>
    <row r="20" spans="1:6" ht="15" customHeight="1">
      <c r="A20" s="166">
        <v>15</v>
      </c>
      <c r="B20" s="170" t="s">
        <v>207</v>
      </c>
      <c r="C20" s="177">
        <v>659</v>
      </c>
      <c r="D20" s="177">
        <v>1382.43</v>
      </c>
      <c r="E20" s="177">
        <v>4461</v>
      </c>
      <c r="F20" s="177">
        <v>9091.64</v>
      </c>
    </row>
    <row r="21" spans="1:6" ht="15" customHeight="1">
      <c r="A21" s="181">
        <v>16</v>
      </c>
      <c r="B21" s="170" t="s">
        <v>64</v>
      </c>
      <c r="C21" s="177">
        <v>26856</v>
      </c>
      <c r="D21" s="177">
        <v>58271</v>
      </c>
      <c r="E21" s="177">
        <v>163350</v>
      </c>
      <c r="F21" s="177">
        <v>239999</v>
      </c>
    </row>
    <row r="22" spans="1:6" ht="15" customHeight="1">
      <c r="A22" s="166">
        <v>17</v>
      </c>
      <c r="B22" s="102" t="s">
        <v>69</v>
      </c>
      <c r="C22" s="177">
        <v>0</v>
      </c>
      <c r="D22" s="177">
        <v>0</v>
      </c>
      <c r="E22" s="177">
        <v>0</v>
      </c>
      <c r="F22" s="177">
        <v>0</v>
      </c>
    </row>
    <row r="23" spans="1:6" ht="15" customHeight="1">
      <c r="A23" s="166">
        <v>18</v>
      </c>
      <c r="B23" s="58" t="s">
        <v>208</v>
      </c>
      <c r="C23" s="177">
        <v>0</v>
      </c>
      <c r="D23" s="177">
        <v>0</v>
      </c>
      <c r="E23" s="177">
        <v>0</v>
      </c>
      <c r="F23" s="177">
        <v>0</v>
      </c>
    </row>
    <row r="24" spans="1:6" ht="15" customHeight="1">
      <c r="A24" s="181">
        <v>19</v>
      </c>
      <c r="B24" s="103" t="s">
        <v>209</v>
      </c>
      <c r="C24" s="177">
        <v>0</v>
      </c>
      <c r="D24" s="177">
        <v>0</v>
      </c>
      <c r="E24" s="177">
        <v>0</v>
      </c>
      <c r="F24" s="177">
        <v>0</v>
      </c>
    </row>
    <row r="25" spans="1:6" ht="15" customHeight="1">
      <c r="A25" s="166">
        <v>20</v>
      </c>
      <c r="B25" s="170" t="s">
        <v>210</v>
      </c>
      <c r="C25" s="177">
        <v>0</v>
      </c>
      <c r="D25" s="177">
        <v>0</v>
      </c>
      <c r="E25" s="177">
        <v>0</v>
      </c>
      <c r="F25" s="177">
        <v>0</v>
      </c>
    </row>
    <row r="26" spans="1:6" ht="15" customHeight="1">
      <c r="A26" s="166">
        <v>21</v>
      </c>
      <c r="B26" s="170" t="s">
        <v>211</v>
      </c>
      <c r="C26" s="177">
        <v>110</v>
      </c>
      <c r="D26" s="177">
        <v>99</v>
      </c>
      <c r="E26" s="177">
        <v>222</v>
      </c>
      <c r="F26" s="177">
        <v>154</v>
      </c>
    </row>
    <row r="27" spans="1:6" ht="15" customHeight="1">
      <c r="A27" s="181">
        <v>22</v>
      </c>
      <c r="B27" s="170" t="s">
        <v>70</v>
      </c>
      <c r="C27" s="177">
        <v>421018</v>
      </c>
      <c r="D27" s="177">
        <v>903937</v>
      </c>
      <c r="E27" s="177">
        <v>540260</v>
      </c>
      <c r="F27" s="177">
        <v>1005257</v>
      </c>
    </row>
    <row r="28" spans="1:6" ht="15" customHeight="1">
      <c r="A28" s="166">
        <v>23</v>
      </c>
      <c r="B28" s="170" t="s">
        <v>65</v>
      </c>
      <c r="C28" s="177">
        <v>1248</v>
      </c>
      <c r="D28" s="177">
        <v>2079</v>
      </c>
      <c r="E28" s="177">
        <v>6714</v>
      </c>
      <c r="F28" s="177">
        <v>10226</v>
      </c>
    </row>
    <row r="29" spans="1:6" ht="15" customHeight="1">
      <c r="A29" s="166">
        <v>24</v>
      </c>
      <c r="B29" s="170" t="s">
        <v>212</v>
      </c>
      <c r="C29" s="177">
        <v>2594</v>
      </c>
      <c r="D29" s="177">
        <v>4252</v>
      </c>
      <c r="E29" s="177">
        <v>94222</v>
      </c>
      <c r="F29" s="177">
        <v>59066</v>
      </c>
    </row>
    <row r="30" spans="1:6" ht="15" customHeight="1">
      <c r="A30" s="181">
        <v>25</v>
      </c>
      <c r="B30" s="170" t="s">
        <v>66</v>
      </c>
      <c r="C30" s="177">
        <v>16449</v>
      </c>
      <c r="D30" s="177">
        <v>33683</v>
      </c>
      <c r="E30" s="177">
        <v>109278</v>
      </c>
      <c r="F30" s="177">
        <v>211287</v>
      </c>
    </row>
    <row r="31" spans="1:6" ht="15" customHeight="1">
      <c r="A31" s="166">
        <v>26</v>
      </c>
      <c r="B31" s="178" t="s">
        <v>67</v>
      </c>
      <c r="C31" s="177">
        <v>0</v>
      </c>
      <c r="D31" s="177">
        <v>0</v>
      </c>
      <c r="E31" s="177">
        <v>20</v>
      </c>
      <c r="F31" s="177">
        <v>58.59</v>
      </c>
    </row>
    <row r="32" spans="1:6" ht="15" customHeight="1">
      <c r="A32" s="166">
        <v>27</v>
      </c>
      <c r="B32" s="170" t="s">
        <v>50</v>
      </c>
      <c r="C32" s="177">
        <v>1343</v>
      </c>
      <c r="D32" s="177">
        <v>2748</v>
      </c>
      <c r="E32" s="177">
        <v>6369</v>
      </c>
      <c r="F32" s="177">
        <v>15576</v>
      </c>
    </row>
    <row r="33" spans="1:13" s="224" customFormat="1" ht="15" customHeight="1">
      <c r="A33" s="168"/>
      <c r="B33" s="171" t="s">
        <v>286</v>
      </c>
      <c r="C33" s="180">
        <f>SUM(C6:C32)</f>
        <v>611281</v>
      </c>
      <c r="D33" s="180">
        <f t="shared" ref="D33:F33" si="0">SUM(D6:D32)</f>
        <v>1331614.95</v>
      </c>
      <c r="E33" s="180">
        <f t="shared" si="0"/>
        <v>1694875</v>
      </c>
      <c r="F33" s="180">
        <f t="shared" si="0"/>
        <v>2914237.2299999995</v>
      </c>
      <c r="H33" s="83"/>
      <c r="I33" s="83"/>
      <c r="J33" s="83"/>
      <c r="K33" s="83"/>
      <c r="L33" s="83"/>
      <c r="M33" s="83"/>
    </row>
    <row r="34" spans="1:13" ht="15" customHeight="1">
      <c r="A34" s="166">
        <v>28</v>
      </c>
      <c r="B34" s="170" t="s">
        <v>47</v>
      </c>
      <c r="C34" s="177">
        <v>2410</v>
      </c>
      <c r="D34" s="177">
        <v>11068.14</v>
      </c>
      <c r="E34" s="177">
        <v>5383</v>
      </c>
      <c r="F34" s="177">
        <v>24559.5</v>
      </c>
    </row>
    <row r="35" spans="1:13" ht="15" customHeight="1">
      <c r="A35" s="166">
        <v>29</v>
      </c>
      <c r="B35" s="170" t="s">
        <v>214</v>
      </c>
      <c r="C35" s="177">
        <v>0</v>
      </c>
      <c r="D35" s="177">
        <v>0</v>
      </c>
      <c r="E35" s="177">
        <v>0</v>
      </c>
      <c r="F35" s="177">
        <v>0</v>
      </c>
    </row>
    <row r="36" spans="1:13" ht="15" customHeight="1">
      <c r="A36" s="166">
        <v>30</v>
      </c>
      <c r="B36" s="170" t="s">
        <v>215</v>
      </c>
      <c r="C36" s="177">
        <v>0</v>
      </c>
      <c r="D36" s="177">
        <v>0</v>
      </c>
      <c r="E36" s="177">
        <v>0</v>
      </c>
      <c r="F36" s="177">
        <v>0</v>
      </c>
    </row>
    <row r="37" spans="1:13" ht="15" customHeight="1">
      <c r="A37" s="166">
        <v>31</v>
      </c>
      <c r="B37" s="170" t="s">
        <v>78</v>
      </c>
      <c r="C37" s="177">
        <v>0</v>
      </c>
      <c r="D37" s="177">
        <v>0</v>
      </c>
      <c r="E37" s="177">
        <v>0</v>
      </c>
      <c r="F37" s="177">
        <v>0</v>
      </c>
    </row>
    <row r="38" spans="1:13" ht="15" customHeight="1">
      <c r="A38" s="166">
        <v>32</v>
      </c>
      <c r="B38" s="170" t="s">
        <v>51</v>
      </c>
      <c r="C38" s="177">
        <v>0</v>
      </c>
      <c r="D38" s="177">
        <v>0</v>
      </c>
      <c r="E38" s="177">
        <v>0</v>
      </c>
      <c r="F38" s="177">
        <v>0</v>
      </c>
    </row>
    <row r="39" spans="1:13" ht="15" customHeight="1">
      <c r="A39" s="166">
        <v>33</v>
      </c>
      <c r="B39" s="170" t="s">
        <v>216</v>
      </c>
      <c r="C39" s="177">
        <v>0</v>
      </c>
      <c r="D39" s="177">
        <v>0</v>
      </c>
      <c r="E39" s="177">
        <v>0</v>
      </c>
      <c r="F39" s="177">
        <v>0</v>
      </c>
    </row>
    <row r="40" spans="1:13" ht="15" customHeight="1">
      <c r="A40" s="166">
        <v>34</v>
      </c>
      <c r="B40" s="170" t="s">
        <v>217</v>
      </c>
      <c r="C40" s="177">
        <v>0</v>
      </c>
      <c r="D40" s="177">
        <v>0</v>
      </c>
      <c r="E40" s="177">
        <v>0</v>
      </c>
      <c r="F40" s="177">
        <v>0</v>
      </c>
    </row>
    <row r="41" spans="1:13" ht="15" customHeight="1">
      <c r="A41" s="166">
        <v>35</v>
      </c>
      <c r="B41" s="170" t="s">
        <v>218</v>
      </c>
      <c r="C41" s="177">
        <v>101</v>
      </c>
      <c r="D41" s="177">
        <v>461</v>
      </c>
      <c r="E41" s="177">
        <v>149</v>
      </c>
      <c r="F41" s="177">
        <v>667</v>
      </c>
    </row>
    <row r="42" spans="1:13" ht="15" customHeight="1">
      <c r="A42" s="166">
        <v>36</v>
      </c>
      <c r="B42" s="170" t="s">
        <v>71</v>
      </c>
      <c r="C42" s="177">
        <v>45907</v>
      </c>
      <c r="D42" s="177">
        <v>136885</v>
      </c>
      <c r="E42" s="177">
        <v>129109</v>
      </c>
      <c r="F42" s="177">
        <v>293915</v>
      </c>
    </row>
    <row r="43" spans="1:13" ht="15" customHeight="1">
      <c r="A43" s="166">
        <v>37</v>
      </c>
      <c r="B43" s="170" t="s">
        <v>72</v>
      </c>
      <c r="C43" s="177">
        <v>52934</v>
      </c>
      <c r="D43" s="177">
        <v>136205</v>
      </c>
      <c r="E43" s="177">
        <v>66780</v>
      </c>
      <c r="F43" s="177">
        <v>170170</v>
      </c>
    </row>
    <row r="44" spans="1:13" ht="15" customHeight="1">
      <c r="A44" s="166">
        <v>38</v>
      </c>
      <c r="B44" s="170" t="s">
        <v>219</v>
      </c>
      <c r="C44" s="177">
        <v>0</v>
      </c>
      <c r="D44" s="177">
        <v>0</v>
      </c>
      <c r="E44" s="177">
        <v>0</v>
      </c>
      <c r="F44" s="177">
        <v>0</v>
      </c>
    </row>
    <row r="45" spans="1:13" ht="15" customHeight="1">
      <c r="A45" s="166">
        <v>39</v>
      </c>
      <c r="B45" s="170" t="s">
        <v>220</v>
      </c>
      <c r="C45" s="177">
        <v>267</v>
      </c>
      <c r="D45" s="177">
        <v>2396</v>
      </c>
      <c r="E45" s="177">
        <v>267</v>
      </c>
      <c r="F45" s="177">
        <v>2396</v>
      </c>
    </row>
    <row r="46" spans="1:13" ht="15" customHeight="1">
      <c r="A46" s="166">
        <v>40</v>
      </c>
      <c r="B46" s="170" t="s">
        <v>221</v>
      </c>
      <c r="C46" s="177">
        <v>0</v>
      </c>
      <c r="D46" s="177">
        <v>0</v>
      </c>
      <c r="E46" s="177">
        <v>0</v>
      </c>
      <c r="F46" s="177">
        <v>0</v>
      </c>
    </row>
    <row r="47" spans="1:13" ht="15" customHeight="1">
      <c r="A47" s="166">
        <v>41</v>
      </c>
      <c r="B47" s="170" t="s">
        <v>222</v>
      </c>
      <c r="C47" s="177">
        <v>1</v>
      </c>
      <c r="D47" s="177">
        <v>2</v>
      </c>
      <c r="E47" s="177">
        <v>15</v>
      </c>
      <c r="F47" s="177">
        <v>56</v>
      </c>
    </row>
    <row r="48" spans="1:13" ht="15" customHeight="1">
      <c r="A48" s="166">
        <v>42</v>
      </c>
      <c r="B48" s="170" t="s">
        <v>223</v>
      </c>
      <c r="C48" s="177">
        <v>0</v>
      </c>
      <c r="D48" s="177">
        <v>0</v>
      </c>
      <c r="E48" s="177">
        <v>0</v>
      </c>
      <c r="F48" s="177">
        <v>0</v>
      </c>
    </row>
    <row r="49" spans="1:13" ht="15" customHeight="1">
      <c r="A49" s="166">
        <v>43</v>
      </c>
      <c r="B49" s="179" t="s">
        <v>73</v>
      </c>
      <c r="C49" s="177">
        <v>0</v>
      </c>
      <c r="D49" s="177">
        <v>0</v>
      </c>
      <c r="E49" s="177">
        <v>101</v>
      </c>
      <c r="F49" s="177">
        <v>16</v>
      </c>
    </row>
    <row r="50" spans="1:13" ht="15" customHeight="1">
      <c r="A50" s="166">
        <v>44</v>
      </c>
      <c r="B50" s="170" t="s">
        <v>224</v>
      </c>
      <c r="C50" s="177">
        <v>0</v>
      </c>
      <c r="D50" s="177">
        <v>0</v>
      </c>
      <c r="E50" s="177">
        <v>0</v>
      </c>
      <c r="F50" s="177">
        <v>0</v>
      </c>
    </row>
    <row r="51" spans="1:13" ht="15" customHeight="1">
      <c r="A51" s="166">
        <v>45</v>
      </c>
      <c r="B51" s="170" t="s">
        <v>225</v>
      </c>
      <c r="C51" s="177">
        <v>3044</v>
      </c>
      <c r="D51" s="177">
        <v>6229</v>
      </c>
      <c r="E51" s="177">
        <v>2800</v>
      </c>
      <c r="F51" s="177">
        <v>5670</v>
      </c>
    </row>
    <row r="52" spans="1:13" ht="15" customHeight="1">
      <c r="A52" s="166">
        <v>46</v>
      </c>
      <c r="B52" s="170" t="s">
        <v>226</v>
      </c>
      <c r="C52" s="177">
        <v>0</v>
      </c>
      <c r="D52" s="177">
        <v>0</v>
      </c>
      <c r="E52" s="177">
        <v>0</v>
      </c>
      <c r="F52" s="177">
        <v>0</v>
      </c>
    </row>
    <row r="53" spans="1:13" ht="15" customHeight="1">
      <c r="A53" s="166">
        <v>47</v>
      </c>
      <c r="B53" s="170" t="s">
        <v>77</v>
      </c>
      <c r="C53" s="177">
        <v>0</v>
      </c>
      <c r="D53" s="177">
        <v>0</v>
      </c>
      <c r="E53" s="177">
        <v>0</v>
      </c>
      <c r="F53" s="177">
        <v>0</v>
      </c>
      <c r="G53" s="32"/>
    </row>
    <row r="54" spans="1:13" ht="15" customHeight="1">
      <c r="A54" s="166">
        <v>48</v>
      </c>
      <c r="B54" s="170" t="s">
        <v>227</v>
      </c>
      <c r="C54" s="177">
        <v>0</v>
      </c>
      <c r="D54" s="177">
        <v>0</v>
      </c>
      <c r="E54" s="177">
        <v>0</v>
      </c>
      <c r="F54" s="177">
        <v>0</v>
      </c>
    </row>
    <row r="55" spans="1:13" ht="15" customHeight="1">
      <c r="A55" s="166">
        <v>49</v>
      </c>
      <c r="B55" s="170" t="s">
        <v>76</v>
      </c>
      <c r="C55" s="177">
        <v>4413</v>
      </c>
      <c r="D55" s="177">
        <v>1119.73</v>
      </c>
      <c r="E55" s="177">
        <v>15430</v>
      </c>
      <c r="F55" s="177">
        <v>5090</v>
      </c>
    </row>
    <row r="56" spans="1:13" ht="15" customHeight="1">
      <c r="A56" s="171"/>
      <c r="B56" s="171" t="s">
        <v>287</v>
      </c>
      <c r="C56" s="180">
        <f>SUM(C34:C55)</f>
        <v>109077</v>
      </c>
      <c r="D56" s="180">
        <f t="shared" ref="D56:F56" si="1">SUM(D34:D55)</f>
        <v>294365.87</v>
      </c>
      <c r="E56" s="180">
        <f t="shared" si="1"/>
        <v>220034</v>
      </c>
      <c r="F56" s="180">
        <f t="shared" si="1"/>
        <v>502539.5</v>
      </c>
      <c r="G56" s="52"/>
    </row>
    <row r="57" spans="1:13" ht="15" customHeight="1">
      <c r="A57" s="166">
        <v>50</v>
      </c>
      <c r="B57" s="170" t="s">
        <v>46</v>
      </c>
      <c r="C57" s="177">
        <v>8901</v>
      </c>
      <c r="D57" s="177">
        <v>15292.47</v>
      </c>
      <c r="E57" s="177">
        <v>126034</v>
      </c>
      <c r="F57" s="177">
        <v>207079.08</v>
      </c>
      <c r="G57" s="52"/>
    </row>
    <row r="58" spans="1:13" ht="15" customHeight="1">
      <c r="A58" s="230">
        <v>51</v>
      </c>
      <c r="B58" s="231" t="s">
        <v>228</v>
      </c>
      <c r="C58" s="177">
        <v>139659</v>
      </c>
      <c r="D58" s="177">
        <v>85418</v>
      </c>
      <c r="E58" s="177">
        <v>194436</v>
      </c>
      <c r="F58" s="177">
        <v>145686</v>
      </c>
      <c r="G58" s="52"/>
    </row>
    <row r="59" spans="1:13" ht="15" customHeight="1">
      <c r="A59" s="166">
        <v>52</v>
      </c>
      <c r="B59" s="170" t="s">
        <v>52</v>
      </c>
      <c r="C59" s="177">
        <v>13048</v>
      </c>
      <c r="D59" s="177">
        <v>24475.97</v>
      </c>
      <c r="E59" s="177">
        <v>187586</v>
      </c>
      <c r="F59" s="177">
        <v>284123</v>
      </c>
      <c r="G59" s="52"/>
    </row>
    <row r="60" spans="1:13" s="224" customFormat="1" ht="15" customHeight="1">
      <c r="A60" s="227"/>
      <c r="B60" s="228" t="s">
        <v>293</v>
      </c>
      <c r="C60" s="180">
        <f>SUM(C57:C59)</f>
        <v>161608</v>
      </c>
      <c r="D60" s="180">
        <f t="shared" ref="D60:F60" si="2">SUM(D57:D59)</f>
        <v>125186.44</v>
      </c>
      <c r="E60" s="180">
        <f t="shared" si="2"/>
        <v>508056</v>
      </c>
      <c r="F60" s="180">
        <f t="shared" si="2"/>
        <v>636888.07999999996</v>
      </c>
      <c r="G60" s="229"/>
      <c r="H60" s="83"/>
      <c r="I60" s="83"/>
      <c r="J60" s="83"/>
      <c r="K60" s="83"/>
      <c r="L60" s="83"/>
      <c r="M60" s="83"/>
    </row>
    <row r="61" spans="1:13" ht="15" customHeight="1">
      <c r="A61" s="226">
        <v>53</v>
      </c>
      <c r="B61" s="191" t="s">
        <v>288</v>
      </c>
      <c r="C61" s="177">
        <v>140989</v>
      </c>
      <c r="D61" s="177">
        <v>1194141</v>
      </c>
      <c r="E61" s="177">
        <v>5403523</v>
      </c>
      <c r="F61" s="177">
        <v>1219623.5900000001</v>
      </c>
      <c r="G61" s="52"/>
    </row>
    <row r="62" spans="1:13" ht="15" customHeight="1">
      <c r="A62" s="226"/>
      <c r="B62" s="191" t="s">
        <v>289</v>
      </c>
      <c r="C62" s="180">
        <f>C61</f>
        <v>140989</v>
      </c>
      <c r="D62" s="180">
        <f t="shared" ref="D62:F62" si="3">D61</f>
        <v>1194141</v>
      </c>
      <c r="E62" s="180">
        <f t="shared" si="3"/>
        <v>5403523</v>
      </c>
      <c r="F62" s="180">
        <f t="shared" si="3"/>
        <v>1219623.5900000001</v>
      </c>
      <c r="G62" s="52"/>
    </row>
    <row r="63" spans="1:13" ht="15" customHeight="1">
      <c r="A63" s="226"/>
      <c r="B63" s="228" t="s">
        <v>290</v>
      </c>
      <c r="C63" s="180">
        <f>C62+C60+C56+C33</f>
        <v>1022955</v>
      </c>
      <c r="D63" s="180">
        <f t="shared" ref="D63:F63" si="4">D62+D60+D56+D33</f>
        <v>2945308.26</v>
      </c>
      <c r="E63" s="180">
        <f t="shared" si="4"/>
        <v>7826488</v>
      </c>
      <c r="F63" s="180">
        <f t="shared" si="4"/>
        <v>5273288.3999999994</v>
      </c>
      <c r="G63" s="52"/>
    </row>
    <row r="64" spans="1:13">
      <c r="A64" s="56"/>
      <c r="B64" s="337" t="s">
        <v>775</v>
      </c>
      <c r="C64" s="225"/>
      <c r="D64" s="225"/>
      <c r="E64" s="225"/>
      <c r="F64" s="225"/>
      <c r="G64" s="52"/>
    </row>
    <row r="65" spans="5:6">
      <c r="E65" s="36"/>
      <c r="F65" s="36"/>
    </row>
    <row r="67" spans="5:6">
      <c r="F67" s="326"/>
    </row>
  </sheetData>
  <mergeCells count="8">
    <mergeCell ref="A1:F1"/>
    <mergeCell ref="A2:F2"/>
    <mergeCell ref="A4:A5"/>
    <mergeCell ref="B4:B5"/>
    <mergeCell ref="C4:C5"/>
    <mergeCell ref="D4:D5"/>
    <mergeCell ref="E4:E5"/>
    <mergeCell ref="F4:F5"/>
  </mergeCells>
  <phoneticPr fontId="9" type="noConversion"/>
  <conditionalFormatting sqref="B6">
    <cfRule type="duplicateValues" dxfId="60" priority="1"/>
  </conditionalFormatting>
  <conditionalFormatting sqref="B22">
    <cfRule type="duplicateValues" dxfId="59" priority="2"/>
  </conditionalFormatting>
  <conditionalFormatting sqref="B33:B34 B26:B30">
    <cfRule type="duplicateValues" dxfId="58" priority="3"/>
  </conditionalFormatting>
  <conditionalFormatting sqref="B52">
    <cfRule type="duplicateValues" dxfId="57" priority="4"/>
  </conditionalFormatting>
  <conditionalFormatting sqref="B56">
    <cfRule type="duplicateValues" dxfId="56" priority="5"/>
  </conditionalFormatting>
  <conditionalFormatting sqref="B58">
    <cfRule type="duplicateValues" dxfId="55" priority="6"/>
  </conditionalFormatting>
  <pageMargins left="1.2" right="0.7" top="0.39" bottom="0.32" header="0.3" footer="0.3"/>
  <pageSetup scale="7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6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70" sqref="L70"/>
    </sheetView>
  </sheetViews>
  <sheetFormatPr defaultRowHeight="12.75"/>
  <cols>
    <col min="1" max="1" width="6" style="4" customWidth="1"/>
    <col min="2" max="2" width="24.42578125" style="4" bestFit="1" customWidth="1"/>
    <col min="3" max="3" width="9.140625" style="5"/>
    <col min="4" max="4" width="10" style="5" customWidth="1"/>
    <col min="5" max="5" width="7.7109375" style="5" bestFit="1" customWidth="1"/>
    <col min="6" max="6" width="9" style="5" bestFit="1" customWidth="1"/>
    <col min="7" max="7" width="6.5703125" style="5" bestFit="1" customWidth="1"/>
    <col min="8" max="8" width="8.42578125" style="5" customWidth="1"/>
    <col min="9" max="9" width="9.85546875" style="5" customWidth="1"/>
    <col min="10" max="10" width="8.42578125" style="5" bestFit="1" customWidth="1"/>
    <col min="11" max="11" width="5.85546875" style="5" bestFit="1" customWidth="1"/>
    <col min="12" max="12" width="7.28515625" style="5" bestFit="1" customWidth="1"/>
    <col min="13" max="13" width="6.28515625" style="5" bestFit="1" customWidth="1"/>
    <col min="14" max="14" width="8.140625" style="5" bestFit="1" customWidth="1"/>
    <col min="15" max="15" width="8.42578125" style="5" customWidth="1"/>
    <col min="16" max="16" width="10.7109375" style="5" customWidth="1"/>
    <col min="17" max="17" width="9" style="5" bestFit="1" customWidth="1"/>
    <col min="18" max="18" width="9.140625" style="5" bestFit="1" customWidth="1"/>
    <col min="19" max="19" width="11.5703125" style="28" bestFit="1" customWidth="1"/>
    <col min="20" max="20" width="10" style="28" bestFit="1" customWidth="1"/>
    <col min="21" max="16384" width="9.140625" style="4"/>
  </cols>
  <sheetData>
    <row r="1" spans="1:20" s="306" customFormat="1" ht="20.100000000000001" customHeight="1">
      <c r="A1" s="670" t="s">
        <v>768</v>
      </c>
      <c r="B1" s="670"/>
      <c r="C1" s="670"/>
      <c r="D1" s="670"/>
      <c r="E1" s="670"/>
      <c r="F1" s="670"/>
      <c r="G1" s="670"/>
      <c r="H1" s="670"/>
      <c r="I1" s="670"/>
      <c r="J1" s="670"/>
      <c r="K1" s="670"/>
      <c r="L1" s="670"/>
      <c r="M1" s="670"/>
      <c r="N1" s="670"/>
      <c r="O1" s="670"/>
      <c r="P1" s="670"/>
      <c r="Q1" s="670"/>
      <c r="R1" s="670"/>
      <c r="S1" s="307"/>
      <c r="T1" s="307"/>
    </row>
    <row r="2" spans="1:20" ht="15" customHeight="1" thickBot="1">
      <c r="B2" s="671" t="s">
        <v>134</v>
      </c>
      <c r="C2" s="672"/>
      <c r="O2" s="673" t="s">
        <v>195</v>
      </c>
      <c r="P2" s="673"/>
    </row>
    <row r="3" spans="1:20" ht="60.75" thickBot="1">
      <c r="A3" s="308" t="s">
        <v>196</v>
      </c>
      <c r="B3" s="380" t="s">
        <v>285</v>
      </c>
      <c r="C3" s="381" t="s">
        <v>273</v>
      </c>
      <c r="D3" s="309" t="s">
        <v>197</v>
      </c>
      <c r="E3" s="674" t="s">
        <v>277</v>
      </c>
      <c r="F3" s="668"/>
      <c r="G3" s="667" t="s">
        <v>191</v>
      </c>
      <c r="H3" s="668"/>
      <c r="I3" s="667" t="s">
        <v>198</v>
      </c>
      <c r="J3" s="668"/>
      <c r="K3" s="675" t="s">
        <v>187</v>
      </c>
      <c r="L3" s="676"/>
      <c r="M3" s="667" t="s">
        <v>192</v>
      </c>
      <c r="N3" s="668"/>
      <c r="O3" s="667" t="s">
        <v>199</v>
      </c>
      <c r="P3" s="668"/>
      <c r="Q3" s="667" t="s">
        <v>193</v>
      </c>
      <c r="R3" s="668"/>
    </row>
    <row r="4" spans="1:20" ht="15.75" thickBot="1">
      <c r="A4" s="310">
        <v>1</v>
      </c>
      <c r="B4" s="311">
        <v>2</v>
      </c>
      <c r="C4" s="312">
        <v>3</v>
      </c>
      <c r="D4" s="312">
        <v>4</v>
      </c>
      <c r="E4" s="674">
        <v>5</v>
      </c>
      <c r="F4" s="668"/>
      <c r="G4" s="667">
        <v>6</v>
      </c>
      <c r="H4" s="668"/>
      <c r="I4" s="667">
        <v>7</v>
      </c>
      <c r="J4" s="668"/>
      <c r="K4" s="667">
        <v>8</v>
      </c>
      <c r="L4" s="668"/>
      <c r="M4" s="667">
        <v>9</v>
      </c>
      <c r="N4" s="668"/>
      <c r="O4" s="667">
        <v>10</v>
      </c>
      <c r="P4" s="668"/>
      <c r="Q4" s="667">
        <v>11</v>
      </c>
      <c r="R4" s="668"/>
    </row>
    <row r="5" spans="1:20" ht="15">
      <c r="A5" s="313"/>
      <c r="B5" s="314" t="s">
        <v>194</v>
      </c>
      <c r="C5" s="315" t="s">
        <v>30</v>
      </c>
      <c r="D5" s="315" t="s">
        <v>30</v>
      </c>
      <c r="E5" s="315" t="s">
        <v>16</v>
      </c>
      <c r="F5" s="315" t="s">
        <v>99</v>
      </c>
      <c r="G5" s="315" t="s">
        <v>16</v>
      </c>
      <c r="H5" s="315" t="s">
        <v>99</v>
      </c>
      <c r="I5" s="315" t="s">
        <v>16</v>
      </c>
      <c r="J5" s="315" t="s">
        <v>99</v>
      </c>
      <c r="K5" s="315" t="s">
        <v>16</v>
      </c>
      <c r="L5" s="315" t="s">
        <v>99</v>
      </c>
      <c r="M5" s="315" t="s">
        <v>188</v>
      </c>
      <c r="N5" s="315" t="s">
        <v>189</v>
      </c>
      <c r="O5" s="315" t="s">
        <v>190</v>
      </c>
      <c r="P5" s="315" t="s">
        <v>99</v>
      </c>
      <c r="Q5" s="315" t="s">
        <v>16</v>
      </c>
      <c r="R5" s="315" t="s">
        <v>99</v>
      </c>
    </row>
    <row r="6" spans="1:20" ht="15" customHeight="1">
      <c r="A6" s="129">
        <v>1</v>
      </c>
      <c r="B6" s="130" t="s">
        <v>55</v>
      </c>
      <c r="C6" s="167">
        <v>588</v>
      </c>
      <c r="D6" s="167">
        <v>587</v>
      </c>
      <c r="E6" s="167">
        <v>587</v>
      </c>
      <c r="F6" s="167">
        <v>1367</v>
      </c>
      <c r="G6" s="167">
        <v>199</v>
      </c>
      <c r="H6" s="167">
        <v>485</v>
      </c>
      <c r="I6" s="167">
        <v>1599</v>
      </c>
      <c r="J6" s="167">
        <v>2949</v>
      </c>
      <c r="K6" s="167">
        <v>0</v>
      </c>
      <c r="L6" s="167">
        <v>0</v>
      </c>
      <c r="M6" s="167">
        <v>0</v>
      </c>
      <c r="N6" s="167">
        <v>0</v>
      </c>
      <c r="O6" s="167">
        <f>'Pri Sec_outstanding_6'!E6+NPS_OS_8!M6</f>
        <v>3195</v>
      </c>
      <c r="P6" s="167">
        <f>'Pri Sec_outstanding_6'!F6+NPS_OS_8!N6</f>
        <v>8206</v>
      </c>
      <c r="Q6" s="167">
        <v>971</v>
      </c>
      <c r="R6" s="167">
        <v>1245</v>
      </c>
      <c r="S6" s="382"/>
      <c r="T6" s="382"/>
    </row>
    <row r="7" spans="1:20" ht="15" customHeight="1">
      <c r="A7" s="129">
        <v>2</v>
      </c>
      <c r="B7" s="130" t="s">
        <v>56</v>
      </c>
      <c r="C7" s="167">
        <v>90</v>
      </c>
      <c r="D7" s="167">
        <v>16</v>
      </c>
      <c r="E7" s="167">
        <v>16</v>
      </c>
      <c r="F7" s="167">
        <v>183.16</v>
      </c>
      <c r="G7" s="167">
        <v>7</v>
      </c>
      <c r="H7" s="167">
        <v>91.03</v>
      </c>
      <c r="I7" s="167">
        <v>16</v>
      </c>
      <c r="J7" s="167">
        <v>48.59</v>
      </c>
      <c r="K7" s="167">
        <v>0</v>
      </c>
      <c r="L7" s="167">
        <v>0</v>
      </c>
      <c r="M7" s="167">
        <v>0</v>
      </c>
      <c r="N7" s="167">
        <v>0</v>
      </c>
      <c r="O7" s="167">
        <f>'Pri Sec_outstanding_6'!E7+NPS_OS_8!M7</f>
        <v>164</v>
      </c>
      <c r="P7" s="167">
        <f>'Pri Sec_outstanding_6'!F7+NPS_OS_8!N7</f>
        <v>780.26</v>
      </c>
      <c r="Q7" s="167">
        <v>58</v>
      </c>
      <c r="R7" s="167">
        <v>303.64</v>
      </c>
      <c r="S7" s="382"/>
      <c r="T7" s="382"/>
    </row>
    <row r="8" spans="1:20" ht="15" customHeight="1">
      <c r="A8" s="129">
        <v>3</v>
      </c>
      <c r="B8" s="130" t="s">
        <v>57</v>
      </c>
      <c r="C8" s="167">
        <v>531</v>
      </c>
      <c r="D8" s="167">
        <v>443</v>
      </c>
      <c r="E8" s="167">
        <v>413</v>
      </c>
      <c r="F8" s="167">
        <v>1257</v>
      </c>
      <c r="G8" s="167">
        <v>157</v>
      </c>
      <c r="H8" s="167">
        <v>466</v>
      </c>
      <c r="I8" s="167">
        <v>413</v>
      </c>
      <c r="J8" s="167">
        <v>1048</v>
      </c>
      <c r="K8" s="167">
        <v>19</v>
      </c>
      <c r="L8" s="167">
        <v>51</v>
      </c>
      <c r="M8" s="167">
        <v>7</v>
      </c>
      <c r="N8" s="167">
        <v>27</v>
      </c>
      <c r="O8" s="167">
        <f>'Pri Sec_outstanding_6'!E8+NPS_OS_8!M8</f>
        <v>2633</v>
      </c>
      <c r="P8" s="167">
        <f>'Pri Sec_outstanding_6'!F8+NPS_OS_8!N8</f>
        <v>8468</v>
      </c>
      <c r="Q8" s="167">
        <v>866</v>
      </c>
      <c r="R8" s="167">
        <v>1956</v>
      </c>
      <c r="S8" s="382"/>
      <c r="T8" s="382"/>
    </row>
    <row r="9" spans="1:20" ht="15" customHeight="1">
      <c r="A9" s="129">
        <v>4</v>
      </c>
      <c r="B9" s="130" t="s">
        <v>58</v>
      </c>
      <c r="C9" s="167">
        <v>1287</v>
      </c>
      <c r="D9" s="167">
        <v>3478</v>
      </c>
      <c r="E9" s="167">
        <v>3424</v>
      </c>
      <c r="F9" s="167">
        <v>2523</v>
      </c>
      <c r="G9" s="167">
        <v>779</v>
      </c>
      <c r="H9" s="167">
        <v>597</v>
      </c>
      <c r="I9" s="167">
        <v>2896</v>
      </c>
      <c r="J9" s="167">
        <v>2252</v>
      </c>
      <c r="K9" s="167">
        <v>60</v>
      </c>
      <c r="L9" s="167">
        <v>248</v>
      </c>
      <c r="M9" s="167">
        <v>21</v>
      </c>
      <c r="N9" s="167">
        <v>185</v>
      </c>
      <c r="O9" s="167">
        <f>'Pri Sec_outstanding_6'!E9+NPS_OS_8!M9</f>
        <v>10206</v>
      </c>
      <c r="P9" s="167">
        <f>'Pri Sec_outstanding_6'!F9+NPS_OS_8!N9</f>
        <v>22245</v>
      </c>
      <c r="Q9" s="167">
        <v>2347</v>
      </c>
      <c r="R9" s="167">
        <v>5483</v>
      </c>
      <c r="S9" s="382"/>
      <c r="T9" s="382"/>
    </row>
    <row r="10" spans="1:20" ht="15" customHeight="1">
      <c r="A10" s="129">
        <v>5</v>
      </c>
      <c r="B10" s="130" t="s">
        <v>59</v>
      </c>
      <c r="C10" s="167">
        <v>429</v>
      </c>
      <c r="D10" s="167">
        <v>159</v>
      </c>
      <c r="E10" s="167">
        <v>127</v>
      </c>
      <c r="F10" s="167">
        <v>191.15</v>
      </c>
      <c r="G10" s="167">
        <v>48</v>
      </c>
      <c r="H10" s="167">
        <v>200.74</v>
      </c>
      <c r="I10" s="167">
        <v>127</v>
      </c>
      <c r="J10" s="167">
        <v>190.54</v>
      </c>
      <c r="K10" s="167">
        <v>5</v>
      </c>
      <c r="L10" s="167">
        <v>20.95</v>
      </c>
      <c r="M10" s="167">
        <v>0</v>
      </c>
      <c r="N10" s="167">
        <v>0</v>
      </c>
      <c r="O10" s="167">
        <f>'Pri Sec_outstanding_6'!E10+NPS_OS_8!M10</f>
        <v>1367</v>
      </c>
      <c r="P10" s="167">
        <f>'Pri Sec_outstanding_6'!F10+NPS_OS_8!N10</f>
        <v>3370.08</v>
      </c>
      <c r="Q10" s="167">
        <v>865</v>
      </c>
      <c r="R10" s="167">
        <v>2181.98</v>
      </c>
      <c r="S10" s="382"/>
      <c r="T10" s="382"/>
    </row>
    <row r="11" spans="1:20" ht="15" customHeight="1">
      <c r="A11" s="129">
        <v>6</v>
      </c>
      <c r="B11" s="89" t="s">
        <v>241</v>
      </c>
      <c r="C11" s="167">
        <v>9</v>
      </c>
      <c r="D11" s="167">
        <v>0</v>
      </c>
      <c r="E11" s="167">
        <v>0</v>
      </c>
      <c r="F11" s="167">
        <v>0</v>
      </c>
      <c r="G11" s="167">
        <v>0</v>
      </c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67">
        <v>0</v>
      </c>
      <c r="O11" s="167">
        <f>'Pri Sec_outstanding_6'!E11+NPS_OS_8!M11</f>
        <v>16</v>
      </c>
      <c r="P11" s="167">
        <f>'Pri Sec_outstanding_6'!F11+NPS_OS_8!N11</f>
        <v>56</v>
      </c>
      <c r="Q11" s="167">
        <v>0</v>
      </c>
      <c r="R11" s="167">
        <v>0</v>
      </c>
      <c r="S11" s="382"/>
      <c r="T11" s="382"/>
    </row>
    <row r="12" spans="1:20" ht="15" customHeight="1">
      <c r="A12" s="129">
        <v>7</v>
      </c>
      <c r="B12" s="130" t="s">
        <v>60</v>
      </c>
      <c r="C12" s="167">
        <v>366</v>
      </c>
      <c r="D12" s="167">
        <v>135.16</v>
      </c>
      <c r="E12" s="167">
        <v>107.91000000000001</v>
      </c>
      <c r="F12" s="167">
        <v>851.29000000000008</v>
      </c>
      <c r="G12" s="167">
        <v>56.680000000000007</v>
      </c>
      <c r="H12" s="167">
        <v>483.96000000000004</v>
      </c>
      <c r="I12" s="167">
        <v>103.55000000000001</v>
      </c>
      <c r="J12" s="167">
        <v>805.5100000000001</v>
      </c>
      <c r="K12" s="167">
        <v>67.58</v>
      </c>
      <c r="L12" s="167">
        <v>696.5100000000001</v>
      </c>
      <c r="M12" s="167">
        <v>50.14</v>
      </c>
      <c r="N12" s="167">
        <v>587.51</v>
      </c>
      <c r="O12" s="167">
        <f>'Pri Sec_outstanding_6'!E12+NPS_OS_8!M12</f>
        <v>2482</v>
      </c>
      <c r="P12" s="167">
        <f>'Pri Sec_outstanding_6'!F12+NPS_OS_8!N12</f>
        <v>7315.4800000000005</v>
      </c>
      <c r="Q12" s="167">
        <v>1855.18</v>
      </c>
      <c r="R12" s="167">
        <v>3925.09</v>
      </c>
      <c r="S12" s="382"/>
      <c r="T12" s="382"/>
    </row>
    <row r="13" spans="1:20" ht="15" customHeight="1">
      <c r="A13" s="129">
        <v>8</v>
      </c>
      <c r="B13" s="130" t="s">
        <v>61</v>
      </c>
      <c r="C13" s="167">
        <v>1293</v>
      </c>
      <c r="D13" s="167">
        <v>857.5200000000001</v>
      </c>
      <c r="E13" s="167">
        <v>822.96</v>
      </c>
      <c r="F13" s="167">
        <v>3717.36</v>
      </c>
      <c r="G13" s="167">
        <v>686.88</v>
      </c>
      <c r="H13" s="167">
        <v>697.68000000000006</v>
      </c>
      <c r="I13" s="167">
        <v>822.96</v>
      </c>
      <c r="J13" s="167">
        <v>1217.1600000000001</v>
      </c>
      <c r="K13" s="167">
        <v>56</v>
      </c>
      <c r="L13" s="167">
        <v>39</v>
      </c>
      <c r="M13" s="167">
        <v>21</v>
      </c>
      <c r="N13" s="167">
        <v>11</v>
      </c>
      <c r="O13" s="167">
        <f>'Pri Sec_outstanding_6'!E13+NPS_OS_8!M13</f>
        <v>11224</v>
      </c>
      <c r="P13" s="167">
        <f>'Pri Sec_outstanding_6'!F13+NPS_OS_8!N13</f>
        <v>27657</v>
      </c>
      <c r="Q13" s="167">
        <v>2352</v>
      </c>
      <c r="R13" s="167">
        <v>8536</v>
      </c>
      <c r="S13" s="382"/>
      <c r="T13" s="382"/>
    </row>
    <row r="14" spans="1:20" ht="15" customHeight="1">
      <c r="A14" s="129">
        <v>9</v>
      </c>
      <c r="B14" s="130" t="s">
        <v>48</v>
      </c>
      <c r="C14" s="167">
        <v>123</v>
      </c>
      <c r="D14" s="167">
        <v>150</v>
      </c>
      <c r="E14" s="167">
        <v>470</v>
      </c>
      <c r="F14" s="167">
        <v>1874.39</v>
      </c>
      <c r="G14" s="167">
        <v>162</v>
      </c>
      <c r="H14" s="167">
        <v>590.53</v>
      </c>
      <c r="I14" s="167">
        <v>470</v>
      </c>
      <c r="J14" s="167">
        <v>1433.22</v>
      </c>
      <c r="K14" s="167">
        <v>0</v>
      </c>
      <c r="L14" s="167">
        <v>0</v>
      </c>
      <c r="M14" s="167">
        <v>0</v>
      </c>
      <c r="N14" s="167">
        <v>0</v>
      </c>
      <c r="O14" s="167">
        <f>'Pri Sec_outstanding_6'!E14+NPS_OS_8!M14</f>
        <v>458</v>
      </c>
      <c r="P14" s="167">
        <f>'Pri Sec_outstanding_6'!F14+NPS_OS_8!N14</f>
        <v>1267</v>
      </c>
      <c r="Q14" s="167">
        <v>0</v>
      </c>
      <c r="R14" s="167">
        <v>0</v>
      </c>
      <c r="S14" s="382"/>
      <c r="T14" s="382"/>
    </row>
    <row r="15" spans="1:20" ht="15" customHeight="1">
      <c r="A15" s="129">
        <v>10</v>
      </c>
      <c r="B15" s="130" t="s">
        <v>49</v>
      </c>
      <c r="C15" s="167">
        <v>189</v>
      </c>
      <c r="D15" s="167">
        <v>85</v>
      </c>
      <c r="E15" s="167">
        <v>65</v>
      </c>
      <c r="F15" s="167">
        <v>342</v>
      </c>
      <c r="G15" s="167">
        <v>32</v>
      </c>
      <c r="H15" s="167">
        <v>128</v>
      </c>
      <c r="I15" s="167">
        <v>85</v>
      </c>
      <c r="J15" s="167">
        <v>312</v>
      </c>
      <c r="K15" s="167">
        <v>0</v>
      </c>
      <c r="L15" s="167">
        <v>0</v>
      </c>
      <c r="M15" s="167">
        <v>0</v>
      </c>
      <c r="N15" s="167">
        <v>0</v>
      </c>
      <c r="O15" s="167">
        <f>'Pri Sec_outstanding_6'!E15+NPS_OS_8!M15</f>
        <v>747</v>
      </c>
      <c r="P15" s="167">
        <f>'Pri Sec_outstanding_6'!F15+NPS_OS_8!N15</f>
        <v>1915</v>
      </c>
      <c r="Q15" s="167">
        <v>281</v>
      </c>
      <c r="R15" s="167">
        <v>801</v>
      </c>
      <c r="S15" s="382"/>
      <c r="T15" s="382"/>
    </row>
    <row r="16" spans="1:20" ht="15" customHeight="1">
      <c r="A16" s="129">
        <v>11</v>
      </c>
      <c r="B16" s="130" t="s">
        <v>81</v>
      </c>
      <c r="C16" s="167">
        <v>252</v>
      </c>
      <c r="D16" s="167">
        <v>0</v>
      </c>
      <c r="E16" s="167">
        <v>0</v>
      </c>
      <c r="F16" s="167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7">
        <v>0</v>
      </c>
      <c r="N16" s="167">
        <v>0</v>
      </c>
      <c r="O16" s="167">
        <f>'Pri Sec_outstanding_6'!E16+NPS_OS_8!M16</f>
        <v>561</v>
      </c>
      <c r="P16" s="167">
        <f>'Pri Sec_outstanding_6'!F16+NPS_OS_8!N16</f>
        <v>1874</v>
      </c>
      <c r="Q16" s="167">
        <v>0</v>
      </c>
      <c r="R16" s="167">
        <v>0</v>
      </c>
      <c r="S16" s="382"/>
      <c r="T16" s="382"/>
    </row>
    <row r="17" spans="1:20" ht="15" customHeight="1">
      <c r="A17" s="129">
        <v>12</v>
      </c>
      <c r="B17" s="130" t="s">
        <v>62</v>
      </c>
      <c r="C17" s="167">
        <v>81</v>
      </c>
      <c r="D17" s="167">
        <v>49</v>
      </c>
      <c r="E17" s="167">
        <v>25</v>
      </c>
      <c r="F17" s="167">
        <v>182</v>
      </c>
      <c r="G17" s="167">
        <v>9</v>
      </c>
      <c r="H17" s="167">
        <v>39</v>
      </c>
      <c r="I17" s="167">
        <v>21</v>
      </c>
      <c r="J17" s="167">
        <v>112</v>
      </c>
      <c r="K17" s="167">
        <v>0</v>
      </c>
      <c r="L17" s="167">
        <v>0</v>
      </c>
      <c r="M17" s="167">
        <v>0</v>
      </c>
      <c r="N17" s="167">
        <v>0</v>
      </c>
      <c r="O17" s="167">
        <f>'Pri Sec_outstanding_6'!E17+NPS_OS_8!M17</f>
        <v>130</v>
      </c>
      <c r="P17" s="167">
        <f>'Pri Sec_outstanding_6'!F17+NPS_OS_8!N17</f>
        <v>390</v>
      </c>
      <c r="Q17" s="167">
        <v>9</v>
      </c>
      <c r="R17" s="167">
        <v>39</v>
      </c>
      <c r="S17" s="382"/>
      <c r="T17" s="382"/>
    </row>
    <row r="18" spans="1:20" ht="15" customHeight="1">
      <c r="A18" s="129">
        <v>13</v>
      </c>
      <c r="B18" s="130" t="s">
        <v>63</v>
      </c>
      <c r="C18" s="167">
        <v>162</v>
      </c>
      <c r="D18" s="167">
        <v>8</v>
      </c>
      <c r="E18" s="167">
        <v>8</v>
      </c>
      <c r="F18" s="167">
        <v>41</v>
      </c>
      <c r="G18" s="167">
        <v>3</v>
      </c>
      <c r="H18" s="167">
        <v>3.5</v>
      </c>
      <c r="I18" s="167">
        <v>8</v>
      </c>
      <c r="J18" s="167">
        <v>18.28</v>
      </c>
      <c r="K18" s="167">
        <v>0</v>
      </c>
      <c r="L18" s="167">
        <v>0</v>
      </c>
      <c r="M18" s="167">
        <v>3</v>
      </c>
      <c r="N18" s="167">
        <v>1.18</v>
      </c>
      <c r="O18" s="167">
        <f>'Pri Sec_outstanding_6'!E18+NPS_OS_8!M18</f>
        <v>314</v>
      </c>
      <c r="P18" s="167">
        <f>'Pri Sec_outstanding_6'!F18+NPS_OS_8!N18</f>
        <v>920</v>
      </c>
      <c r="Q18" s="167">
        <v>130</v>
      </c>
      <c r="R18" s="167">
        <v>360</v>
      </c>
      <c r="S18" s="382"/>
      <c r="T18" s="382"/>
    </row>
    <row r="19" spans="1:20" ht="15" customHeight="1">
      <c r="A19" s="129">
        <v>14</v>
      </c>
      <c r="B19" s="90" t="s">
        <v>206</v>
      </c>
      <c r="C19" s="167">
        <v>201</v>
      </c>
      <c r="D19" s="167">
        <v>190</v>
      </c>
      <c r="E19" s="167">
        <v>188</v>
      </c>
      <c r="F19" s="167">
        <v>626.66999999999996</v>
      </c>
      <c r="G19" s="167">
        <v>69</v>
      </c>
      <c r="H19" s="167">
        <v>194.8</v>
      </c>
      <c r="I19" s="167">
        <v>190</v>
      </c>
      <c r="J19" s="167">
        <v>642.27</v>
      </c>
      <c r="K19" s="167">
        <v>0</v>
      </c>
      <c r="L19" s="167">
        <v>0</v>
      </c>
      <c r="M19" s="167">
        <v>0</v>
      </c>
      <c r="N19" s="167">
        <v>0</v>
      </c>
      <c r="O19" s="167">
        <f>'Pri Sec_outstanding_6'!E19+NPS_OS_8!M19</f>
        <v>1704</v>
      </c>
      <c r="P19" s="167">
        <f>'Pri Sec_outstanding_6'!F19+NPS_OS_8!N19</f>
        <v>4373.38</v>
      </c>
      <c r="Q19" s="167">
        <v>542</v>
      </c>
      <c r="R19" s="167">
        <v>1398.37</v>
      </c>
      <c r="S19" s="382"/>
      <c r="T19" s="382"/>
    </row>
    <row r="20" spans="1:20" ht="15" customHeight="1">
      <c r="A20" s="129">
        <v>15</v>
      </c>
      <c r="B20" s="130" t="s">
        <v>207</v>
      </c>
      <c r="C20" s="167">
        <v>96</v>
      </c>
      <c r="D20" s="167">
        <v>28</v>
      </c>
      <c r="E20" s="167">
        <v>28</v>
      </c>
      <c r="F20" s="167">
        <v>312.02999999999997</v>
      </c>
      <c r="G20" s="167">
        <v>12</v>
      </c>
      <c r="H20" s="167">
        <v>146.09</v>
      </c>
      <c r="I20" s="167">
        <v>28</v>
      </c>
      <c r="J20" s="167">
        <v>141.11000000000001</v>
      </c>
      <c r="K20" s="167">
        <v>0</v>
      </c>
      <c r="L20" s="167">
        <v>0</v>
      </c>
      <c r="M20" s="167">
        <v>0</v>
      </c>
      <c r="N20" s="167">
        <v>0</v>
      </c>
      <c r="O20" s="167">
        <f>'Pri Sec_outstanding_6'!E20+NPS_OS_8!M20</f>
        <v>198</v>
      </c>
      <c r="P20" s="167">
        <f>'Pri Sec_outstanding_6'!F20+NPS_OS_8!N20</f>
        <v>653.41999999999996</v>
      </c>
      <c r="Q20" s="167">
        <v>69</v>
      </c>
      <c r="R20" s="167">
        <v>287.3</v>
      </c>
      <c r="S20" s="382"/>
      <c r="T20" s="382"/>
    </row>
    <row r="21" spans="1:20" ht="15" customHeight="1">
      <c r="A21" s="129">
        <v>16</v>
      </c>
      <c r="B21" s="130" t="s">
        <v>64</v>
      </c>
      <c r="C21" s="167">
        <v>816</v>
      </c>
      <c r="D21" s="167">
        <v>716</v>
      </c>
      <c r="E21" s="167">
        <v>716</v>
      </c>
      <c r="F21" s="167">
        <v>5355</v>
      </c>
      <c r="G21" s="167">
        <v>197</v>
      </c>
      <c r="H21" s="167">
        <v>1540</v>
      </c>
      <c r="I21" s="167">
        <v>1928</v>
      </c>
      <c r="J21" s="167">
        <v>3307</v>
      </c>
      <c r="K21" s="167">
        <v>0</v>
      </c>
      <c r="L21" s="167">
        <v>0</v>
      </c>
      <c r="M21" s="167">
        <v>0</v>
      </c>
      <c r="N21" s="167">
        <v>0</v>
      </c>
      <c r="O21" s="167">
        <f>'Pri Sec_outstanding_6'!E21+NPS_OS_8!M21</f>
        <v>7443</v>
      </c>
      <c r="P21" s="167">
        <f>'Pri Sec_outstanding_6'!F21+NPS_OS_8!N21</f>
        <v>18436</v>
      </c>
      <c r="Q21" s="167">
        <v>2791</v>
      </c>
      <c r="R21" s="167">
        <v>6572</v>
      </c>
      <c r="S21" s="382"/>
      <c r="T21" s="382"/>
    </row>
    <row r="22" spans="1:20" ht="15" customHeight="1">
      <c r="A22" s="129">
        <v>17</v>
      </c>
      <c r="B22" s="90" t="s">
        <v>69</v>
      </c>
      <c r="C22" s="167">
        <v>12</v>
      </c>
      <c r="D22" s="167">
        <v>0</v>
      </c>
      <c r="E22" s="167">
        <v>0</v>
      </c>
      <c r="F22" s="167"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7">
        <f>'Pri Sec_outstanding_6'!E22+NPS_OS_8!M22</f>
        <v>24</v>
      </c>
      <c r="P22" s="167">
        <f>'Pri Sec_outstanding_6'!F22+NPS_OS_8!N22</f>
        <v>58</v>
      </c>
      <c r="Q22" s="167">
        <v>0</v>
      </c>
      <c r="R22" s="167">
        <v>0</v>
      </c>
      <c r="S22" s="382"/>
      <c r="T22" s="382"/>
    </row>
    <row r="23" spans="1:20" ht="15" customHeight="1">
      <c r="A23" s="129">
        <v>18</v>
      </c>
      <c r="B23" s="58" t="s">
        <v>208</v>
      </c>
      <c r="C23" s="167">
        <v>9</v>
      </c>
      <c r="D23" s="167">
        <v>0</v>
      </c>
      <c r="E23" s="167">
        <v>1</v>
      </c>
      <c r="F23" s="167">
        <v>7.5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67">
        <v>0</v>
      </c>
      <c r="O23" s="167">
        <f>'Pri Sec_outstanding_6'!E23+NPS_OS_8!M23</f>
        <v>6</v>
      </c>
      <c r="P23" s="167">
        <f>'Pri Sec_outstanding_6'!F23+NPS_OS_8!N23</f>
        <v>10</v>
      </c>
      <c r="Q23" s="167">
        <v>0</v>
      </c>
      <c r="R23" s="167">
        <v>0</v>
      </c>
      <c r="S23" s="382"/>
      <c r="T23" s="382"/>
    </row>
    <row r="24" spans="1:20" ht="15" customHeight="1">
      <c r="A24" s="129">
        <v>19</v>
      </c>
      <c r="B24" s="91" t="s">
        <v>209</v>
      </c>
      <c r="C24" s="167">
        <v>18</v>
      </c>
      <c r="D24" s="167">
        <v>10</v>
      </c>
      <c r="E24" s="167">
        <v>6</v>
      </c>
      <c r="F24" s="167">
        <v>23</v>
      </c>
      <c r="G24" s="167">
        <v>4</v>
      </c>
      <c r="H24" s="167">
        <v>15.48</v>
      </c>
      <c r="I24" s="167">
        <v>6</v>
      </c>
      <c r="J24" s="167">
        <v>23</v>
      </c>
      <c r="K24" s="167">
        <v>0</v>
      </c>
      <c r="L24" s="167">
        <v>0</v>
      </c>
      <c r="M24" s="167">
        <v>2</v>
      </c>
      <c r="N24" s="167">
        <v>4</v>
      </c>
      <c r="O24" s="167">
        <f>'Pri Sec_outstanding_6'!E24+NPS_OS_8!M24</f>
        <v>151</v>
      </c>
      <c r="P24" s="167">
        <f>'Pri Sec_outstanding_6'!F24+NPS_OS_8!N24</f>
        <v>470.46</v>
      </c>
      <c r="Q24" s="167">
        <v>2</v>
      </c>
      <c r="R24" s="167">
        <v>6</v>
      </c>
      <c r="S24" s="382"/>
      <c r="T24" s="382"/>
    </row>
    <row r="25" spans="1:20" ht="15" customHeight="1">
      <c r="A25" s="129">
        <v>20</v>
      </c>
      <c r="B25" s="130" t="s">
        <v>210</v>
      </c>
      <c r="C25" s="167">
        <v>6</v>
      </c>
      <c r="D25" s="167">
        <v>0</v>
      </c>
      <c r="E25" s="167">
        <v>0</v>
      </c>
      <c r="F25" s="167">
        <v>0</v>
      </c>
      <c r="G25" s="167">
        <v>0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67">
        <v>0</v>
      </c>
      <c r="N25" s="167">
        <v>0</v>
      </c>
      <c r="O25" s="167">
        <f>'Pri Sec_outstanding_6'!E25+NPS_OS_8!M25</f>
        <v>39</v>
      </c>
      <c r="P25" s="167">
        <f>'Pri Sec_outstanding_6'!F25+NPS_OS_8!N25</f>
        <v>198</v>
      </c>
      <c r="Q25" s="167">
        <v>0</v>
      </c>
      <c r="R25" s="167">
        <v>0</v>
      </c>
      <c r="S25" s="382"/>
      <c r="T25" s="382"/>
    </row>
    <row r="26" spans="1:20" ht="15" customHeight="1">
      <c r="A26" s="129">
        <v>21</v>
      </c>
      <c r="B26" s="130" t="s">
        <v>211</v>
      </c>
      <c r="C26" s="167">
        <v>24</v>
      </c>
      <c r="D26" s="167">
        <v>1</v>
      </c>
      <c r="E26" s="167">
        <v>1</v>
      </c>
      <c r="F26" s="167">
        <v>10</v>
      </c>
      <c r="G26" s="167">
        <v>1</v>
      </c>
      <c r="H26" s="167">
        <v>10</v>
      </c>
      <c r="I26" s="167">
        <v>1</v>
      </c>
      <c r="J26" s="167">
        <v>3</v>
      </c>
      <c r="K26" s="167">
        <v>0</v>
      </c>
      <c r="L26" s="167">
        <v>0</v>
      </c>
      <c r="M26" s="167">
        <v>0</v>
      </c>
      <c r="N26" s="167">
        <v>0</v>
      </c>
      <c r="O26" s="167">
        <f>'Pri Sec_outstanding_6'!E26+NPS_OS_8!M26</f>
        <v>189</v>
      </c>
      <c r="P26" s="167">
        <f>'Pri Sec_outstanding_6'!F26+NPS_OS_8!N26</f>
        <v>507</v>
      </c>
      <c r="Q26" s="167">
        <v>60</v>
      </c>
      <c r="R26" s="167">
        <v>170</v>
      </c>
      <c r="S26" s="382"/>
      <c r="T26" s="382"/>
    </row>
    <row r="27" spans="1:20" s="176" customFormat="1" ht="15" customHeight="1">
      <c r="A27" s="129">
        <v>22</v>
      </c>
      <c r="B27" s="130" t="s">
        <v>70</v>
      </c>
      <c r="C27" s="167">
        <v>3105</v>
      </c>
      <c r="D27" s="167">
        <v>8112</v>
      </c>
      <c r="E27" s="167">
        <v>7920</v>
      </c>
      <c r="F27" s="167">
        <v>16571</v>
      </c>
      <c r="G27" s="167">
        <v>1051</v>
      </c>
      <c r="H27" s="167">
        <v>3816</v>
      </c>
      <c r="I27" s="167">
        <v>7920</v>
      </c>
      <c r="J27" s="167">
        <v>2995</v>
      </c>
      <c r="K27" s="167">
        <v>116</v>
      </c>
      <c r="L27" s="167">
        <v>397</v>
      </c>
      <c r="M27" s="167">
        <v>43</v>
      </c>
      <c r="N27" s="167">
        <v>152</v>
      </c>
      <c r="O27" s="167">
        <f>'Pri Sec_outstanding_6'!E27+NPS_OS_8!M27</f>
        <v>26542</v>
      </c>
      <c r="P27" s="167">
        <f>'Pri Sec_outstanding_6'!F27+NPS_OS_8!N27</f>
        <v>79450</v>
      </c>
      <c r="Q27" s="167">
        <v>7920</v>
      </c>
      <c r="R27" s="167">
        <v>23663</v>
      </c>
      <c r="S27" s="382"/>
      <c r="T27" s="382"/>
    </row>
    <row r="28" spans="1:20" ht="15" customHeight="1">
      <c r="A28" s="129">
        <v>23</v>
      </c>
      <c r="B28" s="130" t="s">
        <v>65</v>
      </c>
      <c r="C28" s="167">
        <v>186</v>
      </c>
      <c r="D28" s="167">
        <v>78</v>
      </c>
      <c r="E28" s="167">
        <v>78</v>
      </c>
      <c r="F28" s="167">
        <v>402</v>
      </c>
      <c r="G28" s="167">
        <v>28</v>
      </c>
      <c r="H28" s="167">
        <v>37</v>
      </c>
      <c r="I28" s="167">
        <v>78</v>
      </c>
      <c r="J28" s="167">
        <v>97</v>
      </c>
      <c r="K28" s="167">
        <v>0</v>
      </c>
      <c r="L28" s="167">
        <v>0</v>
      </c>
      <c r="M28" s="167">
        <v>0</v>
      </c>
      <c r="N28" s="167">
        <v>0</v>
      </c>
      <c r="O28" s="167">
        <f>'Pri Sec_outstanding_6'!E28+NPS_OS_8!M28</f>
        <v>922</v>
      </c>
      <c r="P28" s="167">
        <f>'Pri Sec_outstanding_6'!F28+NPS_OS_8!N28</f>
        <v>2076</v>
      </c>
      <c r="Q28" s="167">
        <v>340</v>
      </c>
      <c r="R28" s="167">
        <v>763</v>
      </c>
      <c r="S28" s="382"/>
      <c r="T28" s="382"/>
    </row>
    <row r="29" spans="1:20" ht="15" customHeight="1">
      <c r="A29" s="129">
        <v>24</v>
      </c>
      <c r="B29" s="130" t="s">
        <v>212</v>
      </c>
      <c r="C29" s="167">
        <v>411</v>
      </c>
      <c r="D29" s="167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7">
        <v>0</v>
      </c>
      <c r="O29" s="167">
        <f>'Pri Sec_outstanding_6'!E29+NPS_OS_8!M29</f>
        <v>2917</v>
      </c>
      <c r="P29" s="167">
        <f>'Pri Sec_outstanding_6'!F29+NPS_OS_8!N29</f>
        <v>7339</v>
      </c>
      <c r="Q29" s="167">
        <v>0</v>
      </c>
      <c r="R29" s="167">
        <v>0</v>
      </c>
      <c r="S29" s="382"/>
      <c r="T29" s="382"/>
    </row>
    <row r="30" spans="1:20" ht="15" customHeight="1">
      <c r="A30" s="129">
        <v>25</v>
      </c>
      <c r="B30" s="130" t="s">
        <v>66</v>
      </c>
      <c r="C30" s="167">
        <v>828</v>
      </c>
      <c r="D30" s="167">
        <v>438</v>
      </c>
      <c r="E30" s="167">
        <v>438</v>
      </c>
      <c r="F30" s="167">
        <v>3271</v>
      </c>
      <c r="G30" s="167">
        <v>136</v>
      </c>
      <c r="H30" s="167">
        <v>967</v>
      </c>
      <c r="I30" s="167">
        <v>1342</v>
      </c>
      <c r="J30" s="167">
        <v>1611</v>
      </c>
      <c r="K30" s="167">
        <v>0</v>
      </c>
      <c r="L30" s="167">
        <v>0</v>
      </c>
      <c r="M30" s="167">
        <v>0</v>
      </c>
      <c r="N30" s="167">
        <v>0</v>
      </c>
      <c r="O30" s="167">
        <f>'Pri Sec_outstanding_6'!E30+NPS_OS_8!M30</f>
        <v>3864</v>
      </c>
      <c r="P30" s="167">
        <f>'Pri Sec_outstanding_6'!F30+NPS_OS_8!N30</f>
        <v>10241</v>
      </c>
      <c r="Q30" s="167">
        <v>1251</v>
      </c>
      <c r="R30" s="167">
        <v>2663</v>
      </c>
      <c r="S30" s="382"/>
      <c r="T30" s="382"/>
    </row>
    <row r="31" spans="1:20" ht="15" customHeight="1">
      <c r="A31" s="129">
        <v>26</v>
      </c>
      <c r="B31" s="89" t="s">
        <v>67</v>
      </c>
      <c r="C31" s="167">
        <v>39</v>
      </c>
      <c r="D31" s="167">
        <v>6</v>
      </c>
      <c r="E31" s="167">
        <v>5</v>
      </c>
      <c r="F31" s="167">
        <v>47</v>
      </c>
      <c r="G31" s="167">
        <v>1</v>
      </c>
      <c r="H31" s="167">
        <v>4</v>
      </c>
      <c r="I31" s="167">
        <v>5</v>
      </c>
      <c r="J31" s="167">
        <v>18.82</v>
      </c>
      <c r="K31" s="167">
        <v>0</v>
      </c>
      <c r="L31" s="167">
        <v>0</v>
      </c>
      <c r="M31" s="167">
        <v>0</v>
      </c>
      <c r="N31" s="167">
        <v>0</v>
      </c>
      <c r="O31" s="167">
        <f>'Pri Sec_outstanding_6'!E31+NPS_OS_8!M31</f>
        <v>93</v>
      </c>
      <c r="P31" s="167">
        <f>'Pri Sec_outstanding_6'!F31+NPS_OS_8!N31</f>
        <v>295</v>
      </c>
      <c r="Q31" s="167">
        <v>36</v>
      </c>
      <c r="R31" s="167">
        <v>91</v>
      </c>
      <c r="S31" s="382"/>
      <c r="T31" s="382"/>
    </row>
    <row r="32" spans="1:20" ht="15" customHeight="1">
      <c r="A32" s="129">
        <v>27</v>
      </c>
      <c r="B32" s="130" t="s">
        <v>50</v>
      </c>
      <c r="C32" s="167">
        <v>159</v>
      </c>
      <c r="D32" s="167">
        <v>530</v>
      </c>
      <c r="E32" s="167">
        <v>451</v>
      </c>
      <c r="F32" s="167">
        <v>1352</v>
      </c>
      <c r="G32" s="167">
        <v>155</v>
      </c>
      <c r="H32" s="167">
        <v>579</v>
      </c>
      <c r="I32" s="167">
        <v>451</v>
      </c>
      <c r="J32" s="167">
        <v>849</v>
      </c>
      <c r="K32" s="167">
        <v>0</v>
      </c>
      <c r="L32" s="167">
        <v>0</v>
      </c>
      <c r="M32" s="167">
        <v>0</v>
      </c>
      <c r="N32" s="167">
        <v>0</v>
      </c>
      <c r="O32" s="167">
        <f>'Pri Sec_outstanding_6'!E32+NPS_OS_8!M32</f>
        <v>451</v>
      </c>
      <c r="P32" s="167">
        <f>'Pri Sec_outstanding_6'!F32+NPS_OS_8!N32</f>
        <v>1110</v>
      </c>
      <c r="Q32" s="167">
        <v>155</v>
      </c>
      <c r="R32" s="167">
        <v>485</v>
      </c>
      <c r="S32" s="382"/>
      <c r="T32" s="382"/>
    </row>
    <row r="33" spans="1:20" s="176" customFormat="1" ht="15" customHeight="1">
      <c r="A33" s="372" t="s">
        <v>345</v>
      </c>
      <c r="B33" s="132" t="s">
        <v>286</v>
      </c>
      <c r="C33" s="169">
        <f>SUM(C6:C32)</f>
        <v>11310</v>
      </c>
      <c r="D33" s="169">
        <f t="shared" ref="D33:R33" si="0">SUM(D6:D32)</f>
        <v>16076.68</v>
      </c>
      <c r="E33" s="169">
        <f t="shared" si="0"/>
        <v>15897.869999999999</v>
      </c>
      <c r="F33" s="169">
        <f t="shared" si="0"/>
        <v>40506.550000000003</v>
      </c>
      <c r="G33" s="169">
        <f t="shared" si="0"/>
        <v>3793.56</v>
      </c>
      <c r="H33" s="169">
        <f t="shared" si="0"/>
        <v>11091.81</v>
      </c>
      <c r="I33" s="169">
        <f t="shared" si="0"/>
        <v>18510.510000000002</v>
      </c>
      <c r="J33" s="169">
        <f t="shared" si="0"/>
        <v>20073.5</v>
      </c>
      <c r="K33" s="169">
        <f t="shared" si="0"/>
        <v>323.58</v>
      </c>
      <c r="L33" s="169">
        <f t="shared" si="0"/>
        <v>1452.46</v>
      </c>
      <c r="M33" s="169">
        <f t="shared" si="0"/>
        <v>147.13999999999999</v>
      </c>
      <c r="N33" s="169">
        <f t="shared" si="0"/>
        <v>967.68999999999994</v>
      </c>
      <c r="O33" s="169">
        <f>'Pri Sec_outstanding_6'!E33+NPS_OS_8!M33</f>
        <v>78040</v>
      </c>
      <c r="P33" s="169">
        <f>'Pri Sec_outstanding_6'!F33+NPS_OS_8!N33</f>
        <v>209681.08000000002</v>
      </c>
      <c r="Q33" s="169">
        <f t="shared" si="0"/>
        <v>22900.18</v>
      </c>
      <c r="R33" s="169">
        <f t="shared" si="0"/>
        <v>60929.38</v>
      </c>
      <c r="S33" s="382"/>
      <c r="T33" s="382"/>
    </row>
    <row r="34" spans="1:20" s="176" customFormat="1" ht="15" customHeight="1">
      <c r="A34" s="129">
        <v>28</v>
      </c>
      <c r="B34" s="130" t="s">
        <v>47</v>
      </c>
      <c r="C34" s="167">
        <v>336</v>
      </c>
      <c r="D34" s="167">
        <v>373</v>
      </c>
      <c r="E34" s="167">
        <v>373</v>
      </c>
      <c r="F34" s="167">
        <v>1634.91</v>
      </c>
      <c r="G34" s="167">
        <v>110</v>
      </c>
      <c r="H34" s="167">
        <v>489.4</v>
      </c>
      <c r="I34" s="167">
        <v>373</v>
      </c>
      <c r="J34" s="167">
        <v>1634.91</v>
      </c>
      <c r="K34" s="167">
        <v>0</v>
      </c>
      <c r="L34" s="167">
        <v>0</v>
      </c>
      <c r="M34" s="167">
        <v>0</v>
      </c>
      <c r="N34" s="167">
        <v>0</v>
      </c>
      <c r="O34" s="167">
        <f>'Pri Sec_outstanding_6'!E34+NPS_OS_8!M34</f>
        <v>380</v>
      </c>
      <c r="P34" s="167">
        <f>'Pri Sec_outstanding_6'!F34+NPS_OS_8!N34</f>
        <v>1765.18</v>
      </c>
      <c r="Q34" s="167">
        <v>37</v>
      </c>
      <c r="R34" s="167">
        <v>140.68</v>
      </c>
      <c r="S34" s="382"/>
      <c r="T34" s="382"/>
    </row>
    <row r="35" spans="1:20" ht="15" customHeight="1">
      <c r="A35" s="129">
        <v>29</v>
      </c>
      <c r="B35" s="130" t="s">
        <v>214</v>
      </c>
      <c r="C35" s="167">
        <v>0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>
        <v>0</v>
      </c>
      <c r="O35" s="167">
        <f>'Pri Sec_outstanding_6'!E35+NPS_OS_8!M35</f>
        <v>0</v>
      </c>
      <c r="P35" s="167">
        <f>'Pri Sec_outstanding_6'!F35+NPS_OS_8!N35</f>
        <v>0</v>
      </c>
      <c r="Q35" s="167">
        <v>0</v>
      </c>
      <c r="R35" s="167">
        <v>0</v>
      </c>
      <c r="S35" s="382"/>
      <c r="T35" s="382"/>
    </row>
    <row r="36" spans="1:20" ht="15" customHeight="1">
      <c r="A36" s="129">
        <v>30</v>
      </c>
      <c r="B36" s="130" t="s">
        <v>215</v>
      </c>
      <c r="C36" s="167">
        <v>0</v>
      </c>
      <c r="D36" s="167">
        <v>0</v>
      </c>
      <c r="E36" s="167">
        <v>0</v>
      </c>
      <c r="F36" s="167">
        <v>0</v>
      </c>
      <c r="G36" s="167">
        <v>0</v>
      </c>
      <c r="H36" s="167">
        <v>0</v>
      </c>
      <c r="I36" s="167">
        <v>0</v>
      </c>
      <c r="J36" s="167">
        <v>0</v>
      </c>
      <c r="K36" s="167">
        <v>0</v>
      </c>
      <c r="L36" s="167">
        <v>0</v>
      </c>
      <c r="M36" s="167">
        <v>0</v>
      </c>
      <c r="N36" s="167">
        <v>0</v>
      </c>
      <c r="O36" s="167">
        <f>'Pri Sec_outstanding_6'!E36+NPS_OS_8!M36</f>
        <v>0</v>
      </c>
      <c r="P36" s="167">
        <f>'Pri Sec_outstanding_6'!F36+NPS_OS_8!N36</f>
        <v>0</v>
      </c>
      <c r="Q36" s="167">
        <v>0</v>
      </c>
      <c r="R36" s="167">
        <v>0</v>
      </c>
      <c r="S36" s="382"/>
      <c r="T36" s="382"/>
    </row>
    <row r="37" spans="1:20" ht="15" customHeight="1">
      <c r="A37" s="129">
        <v>31</v>
      </c>
      <c r="B37" s="130" t="s">
        <v>78</v>
      </c>
      <c r="C37" s="167">
        <v>0</v>
      </c>
      <c r="D37" s="167">
        <v>0</v>
      </c>
      <c r="E37" s="167">
        <v>0</v>
      </c>
      <c r="F37" s="167">
        <v>0</v>
      </c>
      <c r="G37" s="167">
        <v>0</v>
      </c>
      <c r="H37" s="167">
        <v>0</v>
      </c>
      <c r="I37" s="167">
        <v>0</v>
      </c>
      <c r="J37" s="167">
        <v>0</v>
      </c>
      <c r="K37" s="167">
        <v>0</v>
      </c>
      <c r="L37" s="167">
        <v>0</v>
      </c>
      <c r="M37" s="167">
        <v>0</v>
      </c>
      <c r="N37" s="167">
        <v>0</v>
      </c>
      <c r="O37" s="167">
        <f>'Pri Sec_outstanding_6'!E37+NPS_OS_8!M37</f>
        <v>0</v>
      </c>
      <c r="P37" s="167">
        <f>'Pri Sec_outstanding_6'!F37+NPS_OS_8!N37</f>
        <v>0</v>
      </c>
      <c r="Q37" s="167">
        <v>0</v>
      </c>
      <c r="R37" s="167">
        <v>0</v>
      </c>
      <c r="S37" s="382"/>
      <c r="T37" s="382"/>
    </row>
    <row r="38" spans="1:20" ht="15" customHeight="1">
      <c r="A38" s="129">
        <v>32</v>
      </c>
      <c r="B38" s="130" t="s">
        <v>51</v>
      </c>
      <c r="C38" s="167">
        <v>0</v>
      </c>
      <c r="D38" s="167">
        <v>0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7">
        <v>0</v>
      </c>
      <c r="L38" s="167">
        <v>0</v>
      </c>
      <c r="M38" s="167">
        <v>0</v>
      </c>
      <c r="N38" s="167">
        <v>0</v>
      </c>
      <c r="O38" s="167">
        <f>'Pri Sec_outstanding_6'!E38+NPS_OS_8!M38</f>
        <v>2</v>
      </c>
      <c r="P38" s="167">
        <f>'Pri Sec_outstanding_6'!F38+NPS_OS_8!N38</f>
        <v>23.33</v>
      </c>
      <c r="Q38" s="167">
        <v>0</v>
      </c>
      <c r="R38" s="167">
        <v>0</v>
      </c>
      <c r="S38" s="382"/>
      <c r="T38" s="382"/>
    </row>
    <row r="39" spans="1:20" ht="15" customHeight="1">
      <c r="A39" s="129">
        <v>33</v>
      </c>
      <c r="B39" s="130" t="s">
        <v>216</v>
      </c>
      <c r="C39" s="167">
        <v>6</v>
      </c>
      <c r="D39" s="167">
        <v>0</v>
      </c>
      <c r="E39" s="167">
        <v>0</v>
      </c>
      <c r="F39" s="167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7">
        <v>0</v>
      </c>
      <c r="N39" s="167">
        <v>0</v>
      </c>
      <c r="O39" s="167">
        <f>'Pri Sec_outstanding_6'!E39+NPS_OS_8!M39</f>
        <v>1</v>
      </c>
      <c r="P39" s="167">
        <f>'Pri Sec_outstanding_6'!F39+NPS_OS_8!N39</f>
        <v>2</v>
      </c>
      <c r="Q39" s="167">
        <v>0</v>
      </c>
      <c r="R39" s="167">
        <v>0</v>
      </c>
      <c r="S39" s="382"/>
      <c r="T39" s="382"/>
    </row>
    <row r="40" spans="1:20" ht="15" customHeight="1">
      <c r="A40" s="129">
        <v>34</v>
      </c>
      <c r="B40" s="130" t="s">
        <v>217</v>
      </c>
      <c r="C40" s="167">
        <v>0</v>
      </c>
      <c r="D40" s="167">
        <v>0</v>
      </c>
      <c r="E40" s="167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7">
        <v>0</v>
      </c>
      <c r="O40" s="167">
        <f>'Pri Sec_outstanding_6'!E40+NPS_OS_8!M40</f>
        <v>0</v>
      </c>
      <c r="P40" s="167">
        <f>'Pri Sec_outstanding_6'!F40+NPS_OS_8!N40</f>
        <v>0</v>
      </c>
      <c r="Q40" s="167">
        <v>0</v>
      </c>
      <c r="R40" s="167">
        <v>0</v>
      </c>
      <c r="S40" s="382"/>
      <c r="T40" s="382"/>
    </row>
    <row r="41" spans="1:20" ht="15" customHeight="1">
      <c r="A41" s="129">
        <v>35</v>
      </c>
      <c r="B41" s="130" t="s">
        <v>218</v>
      </c>
      <c r="C41" s="167">
        <v>12</v>
      </c>
      <c r="D41" s="167">
        <v>5</v>
      </c>
      <c r="E41" s="167">
        <v>5</v>
      </c>
      <c r="F41" s="167">
        <v>11</v>
      </c>
      <c r="G41" s="167">
        <v>0</v>
      </c>
      <c r="H41" s="167">
        <v>0</v>
      </c>
      <c r="I41" s="167">
        <v>5</v>
      </c>
      <c r="J41" s="167">
        <v>11</v>
      </c>
      <c r="K41" s="167">
        <v>0</v>
      </c>
      <c r="L41" s="167">
        <v>0</v>
      </c>
      <c r="M41" s="167">
        <v>0</v>
      </c>
      <c r="N41" s="167">
        <v>0</v>
      </c>
      <c r="O41" s="167">
        <f>'Pri Sec_outstanding_6'!E41+NPS_OS_8!M41</f>
        <v>13</v>
      </c>
      <c r="P41" s="167">
        <f>'Pri Sec_outstanding_6'!F41+NPS_OS_8!N41</f>
        <v>25</v>
      </c>
      <c r="Q41" s="167">
        <v>0</v>
      </c>
      <c r="R41" s="167">
        <v>0</v>
      </c>
      <c r="S41" s="382"/>
      <c r="T41" s="382"/>
    </row>
    <row r="42" spans="1:20" ht="15" customHeight="1">
      <c r="A42" s="129">
        <v>36</v>
      </c>
      <c r="B42" s="130" t="s">
        <v>71</v>
      </c>
      <c r="C42" s="167">
        <v>285</v>
      </c>
      <c r="D42" s="167">
        <v>438</v>
      </c>
      <c r="E42" s="167">
        <v>438</v>
      </c>
      <c r="F42" s="167">
        <v>639.95000000000005</v>
      </c>
      <c r="G42" s="167">
        <v>151</v>
      </c>
      <c r="H42" s="167">
        <v>203.34</v>
      </c>
      <c r="I42" s="167">
        <v>438</v>
      </c>
      <c r="J42" s="167">
        <v>639.95000000000005</v>
      </c>
      <c r="K42" s="167">
        <v>0</v>
      </c>
      <c r="L42" s="167">
        <v>0</v>
      </c>
      <c r="M42" s="167">
        <v>0</v>
      </c>
      <c r="N42" s="167">
        <v>0</v>
      </c>
      <c r="O42" s="167">
        <f>'Pri Sec_outstanding_6'!E42+NPS_OS_8!M42</f>
        <v>1442</v>
      </c>
      <c r="P42" s="167">
        <f>'Pri Sec_outstanding_6'!F42+NPS_OS_8!N42</f>
        <v>2858</v>
      </c>
      <c r="Q42" s="167">
        <v>465</v>
      </c>
      <c r="R42" s="167">
        <v>892.75</v>
      </c>
      <c r="S42" s="382"/>
      <c r="T42" s="382"/>
    </row>
    <row r="43" spans="1:20" ht="15" customHeight="1">
      <c r="A43" s="129">
        <v>37</v>
      </c>
      <c r="B43" s="130" t="s">
        <v>72</v>
      </c>
      <c r="C43" s="167">
        <v>308</v>
      </c>
      <c r="D43" s="167">
        <v>331</v>
      </c>
      <c r="E43" s="167">
        <v>330</v>
      </c>
      <c r="F43" s="167">
        <v>495</v>
      </c>
      <c r="G43" s="167">
        <v>105</v>
      </c>
      <c r="H43" s="167">
        <v>158</v>
      </c>
      <c r="I43" s="167">
        <v>330</v>
      </c>
      <c r="J43" s="167">
        <v>495</v>
      </c>
      <c r="K43" s="167">
        <v>0</v>
      </c>
      <c r="L43" s="167">
        <v>0</v>
      </c>
      <c r="M43" s="167">
        <v>0</v>
      </c>
      <c r="N43" s="167">
        <v>0</v>
      </c>
      <c r="O43" s="167">
        <f>'Pri Sec_outstanding_6'!E43+NPS_OS_8!M43</f>
        <v>365</v>
      </c>
      <c r="P43" s="167">
        <f>'Pri Sec_outstanding_6'!F43+NPS_OS_8!N43</f>
        <v>578</v>
      </c>
      <c r="Q43" s="167">
        <v>114</v>
      </c>
      <c r="R43" s="167">
        <v>181</v>
      </c>
      <c r="S43" s="382"/>
      <c r="T43" s="382"/>
    </row>
    <row r="44" spans="1:20" ht="15" customHeight="1">
      <c r="A44" s="129">
        <v>38</v>
      </c>
      <c r="B44" s="130" t="s">
        <v>219</v>
      </c>
      <c r="C44" s="167">
        <v>0</v>
      </c>
      <c r="D44" s="167">
        <v>0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7">
        <v>0</v>
      </c>
      <c r="O44" s="167">
        <f>'Pri Sec_outstanding_6'!E44+NPS_OS_8!M44</f>
        <v>0</v>
      </c>
      <c r="P44" s="167">
        <f>'Pri Sec_outstanding_6'!F44+NPS_OS_8!N44</f>
        <v>0</v>
      </c>
      <c r="Q44" s="167">
        <v>0</v>
      </c>
      <c r="R44" s="167">
        <v>0</v>
      </c>
      <c r="S44" s="382"/>
      <c r="T44" s="382"/>
    </row>
    <row r="45" spans="1:20" ht="15" customHeight="1">
      <c r="A45" s="129">
        <v>39</v>
      </c>
      <c r="B45" s="130" t="s">
        <v>220</v>
      </c>
      <c r="C45" s="167">
        <v>36</v>
      </c>
      <c r="D45" s="167">
        <v>0</v>
      </c>
      <c r="E45" s="167">
        <v>0</v>
      </c>
      <c r="F45" s="167">
        <v>0</v>
      </c>
      <c r="G45" s="167">
        <v>0</v>
      </c>
      <c r="H45" s="167">
        <v>0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  <c r="N45" s="167">
        <v>0</v>
      </c>
      <c r="O45" s="167">
        <f>'Pri Sec_outstanding_6'!E45+NPS_OS_8!M45</f>
        <v>0</v>
      </c>
      <c r="P45" s="167">
        <f>'Pri Sec_outstanding_6'!F45+NPS_OS_8!N45</f>
        <v>0</v>
      </c>
      <c r="Q45" s="167">
        <v>0</v>
      </c>
      <c r="R45" s="167">
        <v>0</v>
      </c>
      <c r="S45" s="382"/>
      <c r="T45" s="382"/>
    </row>
    <row r="46" spans="1:20" ht="15" customHeight="1">
      <c r="A46" s="129">
        <v>40</v>
      </c>
      <c r="B46" s="130" t="s">
        <v>221</v>
      </c>
      <c r="C46" s="167">
        <v>6</v>
      </c>
      <c r="D46" s="167">
        <v>0</v>
      </c>
      <c r="E46" s="167">
        <v>10</v>
      </c>
      <c r="F46" s="167">
        <v>32</v>
      </c>
      <c r="G46" s="167">
        <v>4</v>
      </c>
      <c r="H46" s="167">
        <v>6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7">
        <v>0</v>
      </c>
      <c r="O46" s="167">
        <f>'Pri Sec_outstanding_6'!E46+NPS_OS_8!M46</f>
        <v>27</v>
      </c>
      <c r="P46" s="167">
        <f>'Pri Sec_outstanding_6'!F46+NPS_OS_8!N46</f>
        <v>272</v>
      </c>
      <c r="Q46" s="167">
        <v>0</v>
      </c>
      <c r="R46" s="167">
        <v>0</v>
      </c>
      <c r="S46" s="382"/>
      <c r="T46" s="382"/>
    </row>
    <row r="47" spans="1:20" ht="15" customHeight="1">
      <c r="A47" s="129">
        <v>41</v>
      </c>
      <c r="B47" s="130" t="s">
        <v>222</v>
      </c>
      <c r="C47" s="167">
        <v>15</v>
      </c>
      <c r="D47" s="167">
        <v>0</v>
      </c>
      <c r="E47" s="167">
        <v>0</v>
      </c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67">
        <v>0</v>
      </c>
      <c r="M47" s="167">
        <v>0</v>
      </c>
      <c r="N47" s="167">
        <v>0</v>
      </c>
      <c r="O47" s="167">
        <f>'Pri Sec_outstanding_6'!E47+NPS_OS_8!M47</f>
        <v>11</v>
      </c>
      <c r="P47" s="167">
        <f>'Pri Sec_outstanding_6'!F47+NPS_OS_8!N47</f>
        <v>34.450000000000003</v>
      </c>
      <c r="Q47" s="167">
        <v>0</v>
      </c>
      <c r="R47" s="167">
        <v>0</v>
      </c>
      <c r="S47" s="382"/>
      <c r="T47" s="382"/>
    </row>
    <row r="48" spans="1:20" ht="15" customHeight="1">
      <c r="A48" s="129">
        <v>42</v>
      </c>
      <c r="B48" s="130" t="s">
        <v>223</v>
      </c>
      <c r="C48" s="167">
        <v>9</v>
      </c>
      <c r="D48" s="167">
        <v>0</v>
      </c>
      <c r="E48" s="167">
        <v>0</v>
      </c>
      <c r="F48" s="167">
        <v>0</v>
      </c>
      <c r="G48" s="167">
        <v>0</v>
      </c>
      <c r="H48" s="167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>
        <v>0</v>
      </c>
      <c r="O48" s="167">
        <f>'Pri Sec_outstanding_6'!E48+NPS_OS_8!M48</f>
        <v>0</v>
      </c>
      <c r="P48" s="167">
        <f>'Pri Sec_outstanding_6'!F48+NPS_OS_8!N48</f>
        <v>0</v>
      </c>
      <c r="Q48" s="167">
        <v>0</v>
      </c>
      <c r="R48" s="167">
        <v>0</v>
      </c>
      <c r="S48" s="382"/>
      <c r="T48" s="382"/>
    </row>
    <row r="49" spans="1:20" ht="15" customHeight="1">
      <c r="A49" s="129">
        <v>43</v>
      </c>
      <c r="B49" s="130" t="s">
        <v>73</v>
      </c>
      <c r="C49" s="167">
        <v>33</v>
      </c>
      <c r="D49" s="167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7">
        <v>0</v>
      </c>
      <c r="L49" s="167">
        <v>0</v>
      </c>
      <c r="M49" s="167">
        <v>0</v>
      </c>
      <c r="N49" s="167">
        <v>0</v>
      </c>
      <c r="O49" s="167">
        <f>'Pri Sec_outstanding_6'!E49+NPS_OS_8!M49</f>
        <v>1</v>
      </c>
      <c r="P49" s="167">
        <f>'Pri Sec_outstanding_6'!F49+NPS_OS_8!N49</f>
        <v>6</v>
      </c>
      <c r="Q49" s="167">
        <v>0</v>
      </c>
      <c r="R49" s="167">
        <v>0</v>
      </c>
      <c r="S49" s="382"/>
      <c r="T49" s="382"/>
    </row>
    <row r="50" spans="1:20" ht="15" customHeight="1">
      <c r="A50" s="129">
        <v>44</v>
      </c>
      <c r="B50" s="130" t="s">
        <v>224</v>
      </c>
      <c r="C50" s="167">
        <v>3</v>
      </c>
      <c r="D50" s="167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7">
        <v>0</v>
      </c>
      <c r="L50" s="167">
        <v>0</v>
      </c>
      <c r="M50" s="167">
        <v>0</v>
      </c>
      <c r="N50" s="167">
        <v>0</v>
      </c>
      <c r="O50" s="167">
        <f>'Pri Sec_outstanding_6'!E50+NPS_OS_8!M50</f>
        <v>0</v>
      </c>
      <c r="P50" s="167">
        <f>'Pri Sec_outstanding_6'!F50+NPS_OS_8!N50</f>
        <v>0</v>
      </c>
      <c r="Q50" s="167">
        <v>0</v>
      </c>
      <c r="R50" s="167">
        <v>0</v>
      </c>
      <c r="S50" s="382"/>
      <c r="T50" s="382"/>
    </row>
    <row r="51" spans="1:20" ht="15" customHeight="1">
      <c r="A51" s="129">
        <v>45</v>
      </c>
      <c r="B51" s="130" t="s">
        <v>225</v>
      </c>
      <c r="C51" s="167">
        <v>39</v>
      </c>
      <c r="D51" s="167">
        <v>0</v>
      </c>
      <c r="E51" s="167">
        <v>379</v>
      </c>
      <c r="F51" s="167">
        <v>88</v>
      </c>
      <c r="G51" s="167">
        <v>376</v>
      </c>
      <c r="H51" s="167">
        <v>87</v>
      </c>
      <c r="I51" s="167">
        <v>379</v>
      </c>
      <c r="J51" s="167">
        <v>88</v>
      </c>
      <c r="K51" s="167">
        <v>0</v>
      </c>
      <c r="L51" s="167">
        <v>0</v>
      </c>
      <c r="M51" s="167">
        <v>0</v>
      </c>
      <c r="N51" s="167">
        <v>0</v>
      </c>
      <c r="O51" s="167">
        <f>'Pri Sec_outstanding_6'!E51+NPS_OS_8!M51</f>
        <v>877</v>
      </c>
      <c r="P51" s="167">
        <f>'Pri Sec_outstanding_6'!F51+NPS_OS_8!N51</f>
        <v>98</v>
      </c>
      <c r="Q51" s="167">
        <v>877</v>
      </c>
      <c r="R51" s="167">
        <v>98</v>
      </c>
      <c r="S51" s="382"/>
      <c r="T51" s="382"/>
    </row>
    <row r="52" spans="1:20" s="176" customFormat="1" ht="15" customHeight="1">
      <c r="A52" s="129">
        <v>46</v>
      </c>
      <c r="B52" s="130" t="s">
        <v>226</v>
      </c>
      <c r="C52" s="167">
        <v>6</v>
      </c>
      <c r="D52" s="167">
        <v>3</v>
      </c>
      <c r="E52" s="167">
        <v>3</v>
      </c>
      <c r="F52" s="167">
        <v>32</v>
      </c>
      <c r="G52" s="167">
        <v>1</v>
      </c>
      <c r="H52" s="167">
        <v>10</v>
      </c>
      <c r="I52" s="167">
        <v>3</v>
      </c>
      <c r="J52" s="167">
        <v>32</v>
      </c>
      <c r="K52" s="167">
        <v>0</v>
      </c>
      <c r="L52" s="167">
        <v>0</v>
      </c>
      <c r="M52" s="167">
        <v>0</v>
      </c>
      <c r="N52" s="167">
        <v>0</v>
      </c>
      <c r="O52" s="167">
        <f>'Pri Sec_outstanding_6'!E52+NPS_OS_8!M52</f>
        <v>5</v>
      </c>
      <c r="P52" s="167">
        <f>'Pri Sec_outstanding_6'!F52+NPS_OS_8!N52</f>
        <v>50</v>
      </c>
      <c r="Q52" s="167">
        <v>0</v>
      </c>
      <c r="R52" s="167">
        <v>0</v>
      </c>
      <c r="S52" s="382"/>
      <c r="T52" s="382"/>
    </row>
    <row r="53" spans="1:20" ht="15" customHeight="1">
      <c r="A53" s="129">
        <v>47</v>
      </c>
      <c r="B53" s="130" t="s">
        <v>77</v>
      </c>
      <c r="C53" s="167">
        <v>0</v>
      </c>
      <c r="D53" s="167">
        <v>0</v>
      </c>
      <c r="E53" s="167">
        <v>0</v>
      </c>
      <c r="F53" s="167">
        <v>0</v>
      </c>
      <c r="G53" s="167">
        <v>0</v>
      </c>
      <c r="H53" s="167">
        <v>0</v>
      </c>
      <c r="I53" s="167">
        <v>0</v>
      </c>
      <c r="J53" s="167">
        <v>0</v>
      </c>
      <c r="K53" s="167">
        <v>0</v>
      </c>
      <c r="L53" s="167">
        <v>0</v>
      </c>
      <c r="M53" s="167">
        <v>0</v>
      </c>
      <c r="N53" s="167">
        <v>0</v>
      </c>
      <c r="O53" s="167">
        <f>'Pri Sec_outstanding_6'!E53+NPS_OS_8!M53</f>
        <v>0</v>
      </c>
      <c r="P53" s="167">
        <f>'Pri Sec_outstanding_6'!F53+NPS_OS_8!N53</f>
        <v>0</v>
      </c>
      <c r="Q53" s="167">
        <v>0</v>
      </c>
      <c r="R53" s="167">
        <v>0</v>
      </c>
      <c r="S53" s="382"/>
      <c r="T53" s="382"/>
    </row>
    <row r="54" spans="1:20" ht="15" customHeight="1">
      <c r="A54" s="129">
        <v>48</v>
      </c>
      <c r="B54" s="130" t="s">
        <v>227</v>
      </c>
      <c r="C54" s="167">
        <v>0</v>
      </c>
      <c r="D54" s="167">
        <v>0</v>
      </c>
      <c r="E54" s="167">
        <v>0</v>
      </c>
      <c r="F54" s="167">
        <v>0</v>
      </c>
      <c r="G54" s="167">
        <v>0</v>
      </c>
      <c r="H54" s="167">
        <v>0</v>
      </c>
      <c r="I54" s="167">
        <v>0</v>
      </c>
      <c r="J54" s="167">
        <v>0</v>
      </c>
      <c r="K54" s="167">
        <v>0</v>
      </c>
      <c r="L54" s="167">
        <v>0</v>
      </c>
      <c r="M54" s="167">
        <v>0</v>
      </c>
      <c r="N54" s="167">
        <v>0</v>
      </c>
      <c r="O54" s="167">
        <f>'Pri Sec_outstanding_6'!E54+NPS_OS_8!M54</f>
        <v>0</v>
      </c>
      <c r="P54" s="167">
        <f>'Pri Sec_outstanding_6'!F54+NPS_OS_8!N54</f>
        <v>0</v>
      </c>
      <c r="Q54" s="167">
        <v>0</v>
      </c>
      <c r="R54" s="167">
        <v>0</v>
      </c>
      <c r="S54" s="382"/>
      <c r="T54" s="382"/>
    </row>
    <row r="55" spans="1:20" ht="15" customHeight="1">
      <c r="A55" s="129">
        <v>49</v>
      </c>
      <c r="B55" s="130" t="s">
        <v>76</v>
      </c>
      <c r="C55" s="167">
        <v>27</v>
      </c>
      <c r="D55" s="167">
        <v>0</v>
      </c>
      <c r="E55" s="167">
        <v>0</v>
      </c>
      <c r="F55" s="167">
        <v>0</v>
      </c>
      <c r="G55" s="167">
        <v>0</v>
      </c>
      <c r="H55" s="167">
        <v>0</v>
      </c>
      <c r="I55" s="167">
        <v>0</v>
      </c>
      <c r="J55" s="167">
        <v>0</v>
      </c>
      <c r="K55" s="167">
        <v>0</v>
      </c>
      <c r="L55" s="167">
        <v>0</v>
      </c>
      <c r="M55" s="167">
        <v>0</v>
      </c>
      <c r="N55" s="167">
        <v>0</v>
      </c>
      <c r="O55" s="167">
        <f>'Pri Sec_outstanding_6'!E55+NPS_OS_8!M55</f>
        <v>0</v>
      </c>
      <c r="P55" s="167">
        <f>'Pri Sec_outstanding_6'!F55+NPS_OS_8!N55</f>
        <v>0</v>
      </c>
      <c r="Q55" s="167">
        <v>0</v>
      </c>
      <c r="R55" s="167">
        <v>0</v>
      </c>
      <c r="S55" s="382"/>
      <c r="T55" s="382"/>
    </row>
    <row r="56" spans="1:20" s="176" customFormat="1" ht="15" customHeight="1">
      <c r="A56" s="132" t="s">
        <v>345</v>
      </c>
      <c r="B56" s="132" t="s">
        <v>287</v>
      </c>
      <c r="C56" s="169">
        <f>SUM(C34:C55)</f>
        <v>1121</v>
      </c>
      <c r="D56" s="169">
        <f t="shared" ref="D56:R56" si="1">SUM(D34:D55)</f>
        <v>1150</v>
      </c>
      <c r="E56" s="169">
        <f t="shared" si="1"/>
        <v>1538</v>
      </c>
      <c r="F56" s="169">
        <f t="shared" si="1"/>
        <v>2932.86</v>
      </c>
      <c r="G56" s="169">
        <f t="shared" si="1"/>
        <v>747</v>
      </c>
      <c r="H56" s="169">
        <f t="shared" si="1"/>
        <v>953.74</v>
      </c>
      <c r="I56" s="169">
        <f t="shared" si="1"/>
        <v>1528</v>
      </c>
      <c r="J56" s="169">
        <f t="shared" si="1"/>
        <v>2900.86</v>
      </c>
      <c r="K56" s="169">
        <f t="shared" si="1"/>
        <v>0</v>
      </c>
      <c r="L56" s="169">
        <f t="shared" si="1"/>
        <v>0</v>
      </c>
      <c r="M56" s="169">
        <f t="shared" si="1"/>
        <v>0</v>
      </c>
      <c r="N56" s="169">
        <f t="shared" si="1"/>
        <v>0</v>
      </c>
      <c r="O56" s="169">
        <f>'Pri Sec_outstanding_6'!E56+NPS_OS_8!M56</f>
        <v>3124</v>
      </c>
      <c r="P56" s="169">
        <f>'Pri Sec_outstanding_6'!F56+NPS_OS_8!N56</f>
        <v>5711.9599999999991</v>
      </c>
      <c r="Q56" s="169">
        <f t="shared" si="1"/>
        <v>1493</v>
      </c>
      <c r="R56" s="169">
        <f t="shared" si="1"/>
        <v>1312.43</v>
      </c>
      <c r="S56" s="382"/>
      <c r="T56" s="382"/>
    </row>
    <row r="57" spans="1:20" ht="15" customHeight="1">
      <c r="A57" s="129">
        <v>50</v>
      </c>
      <c r="B57" s="130" t="s">
        <v>46</v>
      </c>
      <c r="C57" s="167">
        <v>938</v>
      </c>
      <c r="D57" s="167">
        <v>85</v>
      </c>
      <c r="E57" s="167">
        <v>400</v>
      </c>
      <c r="F57" s="167">
        <v>376.14</v>
      </c>
      <c r="G57" s="167">
        <v>174</v>
      </c>
      <c r="H57" s="167">
        <v>127.89</v>
      </c>
      <c r="I57" s="167">
        <v>400</v>
      </c>
      <c r="J57" s="167">
        <v>376.14</v>
      </c>
      <c r="K57" s="167">
        <v>0</v>
      </c>
      <c r="L57" s="167">
        <v>0</v>
      </c>
      <c r="M57" s="167">
        <v>0</v>
      </c>
      <c r="N57" s="167">
        <v>0</v>
      </c>
      <c r="O57" s="167">
        <f>'Pri Sec_outstanding_6'!E57+NPS_OS_8!M57</f>
        <v>1193</v>
      </c>
      <c r="P57" s="167">
        <f>'Pri Sec_outstanding_6'!F57+NPS_OS_8!N57</f>
        <v>2886.96</v>
      </c>
      <c r="Q57" s="167">
        <v>356</v>
      </c>
      <c r="R57" s="167">
        <v>867.08</v>
      </c>
      <c r="S57" s="382"/>
      <c r="T57" s="382"/>
    </row>
    <row r="58" spans="1:20" s="176" customFormat="1" ht="15" customHeight="1">
      <c r="A58" s="129">
        <v>51</v>
      </c>
      <c r="B58" s="130" t="s">
        <v>228</v>
      </c>
      <c r="C58" s="167">
        <v>894</v>
      </c>
      <c r="D58" s="167">
        <v>32</v>
      </c>
      <c r="E58" s="167">
        <v>32</v>
      </c>
      <c r="F58" s="167">
        <v>90</v>
      </c>
      <c r="G58" s="167">
        <v>8</v>
      </c>
      <c r="H58" s="167">
        <v>24</v>
      </c>
      <c r="I58" s="167">
        <v>29</v>
      </c>
      <c r="J58" s="167">
        <v>51.58</v>
      </c>
      <c r="K58" s="167">
        <v>0</v>
      </c>
      <c r="L58" s="167">
        <v>0</v>
      </c>
      <c r="M58" s="167">
        <v>0</v>
      </c>
      <c r="N58" s="167">
        <v>0</v>
      </c>
      <c r="O58" s="167">
        <f>'Pri Sec_outstanding_6'!E58+NPS_OS_8!M58</f>
        <v>625</v>
      </c>
      <c r="P58" s="167">
        <f>'Pri Sec_outstanding_6'!F58+NPS_OS_8!N58</f>
        <v>1214</v>
      </c>
      <c r="Q58" s="167">
        <v>197</v>
      </c>
      <c r="R58" s="167">
        <v>415</v>
      </c>
      <c r="S58" s="382"/>
      <c r="T58" s="382"/>
    </row>
    <row r="59" spans="1:20" s="176" customFormat="1" ht="15" customHeight="1">
      <c r="A59" s="129">
        <v>52</v>
      </c>
      <c r="B59" s="130" t="s">
        <v>52</v>
      </c>
      <c r="C59" s="167">
        <v>704</v>
      </c>
      <c r="D59" s="167">
        <v>271</v>
      </c>
      <c r="E59" s="167">
        <v>263</v>
      </c>
      <c r="F59" s="167">
        <v>819</v>
      </c>
      <c r="G59" s="167">
        <v>89</v>
      </c>
      <c r="H59" s="167">
        <v>250.61</v>
      </c>
      <c r="I59" s="167">
        <v>229</v>
      </c>
      <c r="J59" s="167">
        <v>435.4</v>
      </c>
      <c r="K59" s="167">
        <v>89</v>
      </c>
      <c r="L59" s="167">
        <v>83</v>
      </c>
      <c r="M59" s="167">
        <v>0</v>
      </c>
      <c r="N59" s="167">
        <v>0</v>
      </c>
      <c r="O59" s="167">
        <f>'Pri Sec_outstanding_6'!E59+NPS_OS_8!M59</f>
        <v>2077</v>
      </c>
      <c r="P59" s="167">
        <f>'Pri Sec_outstanding_6'!F59+NPS_OS_8!N59</f>
        <v>4474.76</v>
      </c>
      <c r="Q59" s="167">
        <v>572</v>
      </c>
      <c r="R59" s="167">
        <v>946</v>
      </c>
      <c r="S59" s="382"/>
      <c r="T59" s="382"/>
    </row>
    <row r="60" spans="1:20" s="176" customFormat="1" ht="15" customHeight="1">
      <c r="A60" s="263" t="s">
        <v>345</v>
      </c>
      <c r="B60" s="264" t="s">
        <v>293</v>
      </c>
      <c r="C60" s="169">
        <f>SUM(C57:C59)</f>
        <v>2536</v>
      </c>
      <c r="D60" s="169">
        <f t="shared" ref="D60:R60" si="2">SUM(D57:D59)</f>
        <v>388</v>
      </c>
      <c r="E60" s="169">
        <f t="shared" si="2"/>
        <v>695</v>
      </c>
      <c r="F60" s="169">
        <f t="shared" si="2"/>
        <v>1285.1399999999999</v>
      </c>
      <c r="G60" s="169">
        <f t="shared" si="2"/>
        <v>271</v>
      </c>
      <c r="H60" s="169">
        <f t="shared" si="2"/>
        <v>402.5</v>
      </c>
      <c r="I60" s="169">
        <f t="shared" si="2"/>
        <v>658</v>
      </c>
      <c r="J60" s="169">
        <f t="shared" si="2"/>
        <v>863.11999999999989</v>
      </c>
      <c r="K60" s="169">
        <f t="shared" si="2"/>
        <v>89</v>
      </c>
      <c r="L60" s="169">
        <f t="shared" si="2"/>
        <v>83</v>
      </c>
      <c r="M60" s="169">
        <f t="shared" si="2"/>
        <v>0</v>
      </c>
      <c r="N60" s="169">
        <f t="shared" si="2"/>
        <v>0</v>
      </c>
      <c r="O60" s="169">
        <f>'Pri Sec_outstanding_6'!E60+NPS_OS_8!M60</f>
        <v>3895</v>
      </c>
      <c r="P60" s="169">
        <f>'Pri Sec_outstanding_6'!F60+NPS_OS_8!N60</f>
        <v>8575.7200000000012</v>
      </c>
      <c r="Q60" s="169">
        <f t="shared" si="2"/>
        <v>1125</v>
      </c>
      <c r="R60" s="169">
        <f t="shared" si="2"/>
        <v>2228.08</v>
      </c>
      <c r="S60" s="382"/>
      <c r="T60" s="382"/>
    </row>
    <row r="61" spans="1:20" ht="15" customHeight="1">
      <c r="A61" s="260">
        <v>53</v>
      </c>
      <c r="B61" s="261" t="s">
        <v>288</v>
      </c>
      <c r="C61" s="167">
        <v>33</v>
      </c>
      <c r="D61" s="167">
        <v>0</v>
      </c>
      <c r="E61" s="167">
        <v>0</v>
      </c>
      <c r="F61" s="167">
        <v>0</v>
      </c>
      <c r="G61" s="167">
        <v>0</v>
      </c>
      <c r="H61" s="167">
        <v>0</v>
      </c>
      <c r="I61" s="167">
        <v>0</v>
      </c>
      <c r="J61" s="167">
        <v>0</v>
      </c>
      <c r="K61" s="167">
        <v>0</v>
      </c>
      <c r="L61" s="167">
        <v>0</v>
      </c>
      <c r="M61" s="167">
        <v>0</v>
      </c>
      <c r="N61" s="167">
        <v>0</v>
      </c>
      <c r="O61" s="167">
        <f>'Pri Sec_outstanding_6'!E61+NPS_OS_8!M61</f>
        <v>0</v>
      </c>
      <c r="P61" s="167">
        <f>'Pri Sec_outstanding_6'!F61+NPS_OS_8!N61</f>
        <v>0</v>
      </c>
      <c r="Q61" s="167">
        <v>0</v>
      </c>
      <c r="R61" s="167">
        <v>0</v>
      </c>
      <c r="S61" s="382"/>
      <c r="T61" s="382"/>
    </row>
    <row r="62" spans="1:20" s="176" customFormat="1" ht="15" customHeight="1">
      <c r="A62" s="263" t="s">
        <v>345</v>
      </c>
      <c r="B62" s="264" t="s">
        <v>289</v>
      </c>
      <c r="C62" s="169">
        <f>C61</f>
        <v>33</v>
      </c>
      <c r="D62" s="169">
        <f t="shared" ref="D62:R62" si="3">D61</f>
        <v>0</v>
      </c>
      <c r="E62" s="169">
        <f t="shared" si="3"/>
        <v>0</v>
      </c>
      <c r="F62" s="169">
        <f t="shared" si="3"/>
        <v>0</v>
      </c>
      <c r="G62" s="169">
        <f t="shared" si="3"/>
        <v>0</v>
      </c>
      <c r="H62" s="169">
        <f t="shared" si="3"/>
        <v>0</v>
      </c>
      <c r="I62" s="169">
        <f t="shared" si="3"/>
        <v>0</v>
      </c>
      <c r="J62" s="169">
        <f t="shared" si="3"/>
        <v>0</v>
      </c>
      <c r="K62" s="169">
        <f t="shared" si="3"/>
        <v>0</v>
      </c>
      <c r="L62" s="169">
        <f t="shared" si="3"/>
        <v>0</v>
      </c>
      <c r="M62" s="169">
        <f t="shared" si="3"/>
        <v>0</v>
      </c>
      <c r="N62" s="169">
        <f t="shared" si="3"/>
        <v>0</v>
      </c>
      <c r="O62" s="169">
        <f>'Pri Sec_outstanding_6'!E62+NPS_OS_8!M62</f>
        <v>0</v>
      </c>
      <c r="P62" s="169">
        <f>'Pri Sec_outstanding_6'!F62+NPS_OS_8!N62</f>
        <v>0</v>
      </c>
      <c r="Q62" s="169">
        <f t="shared" si="3"/>
        <v>0</v>
      </c>
      <c r="R62" s="169">
        <f t="shared" si="3"/>
        <v>0</v>
      </c>
      <c r="S62" s="382"/>
      <c r="T62" s="382"/>
    </row>
    <row r="63" spans="1:20" s="176" customFormat="1" ht="15" customHeight="1">
      <c r="A63" s="263" t="s">
        <v>345</v>
      </c>
      <c r="B63" s="264" t="s">
        <v>290</v>
      </c>
      <c r="C63" s="169">
        <f>C62+C60+C56+C33</f>
        <v>15000</v>
      </c>
      <c r="D63" s="169">
        <f t="shared" ref="D63:R63" si="4">D62+D60+D56+D33</f>
        <v>17614.68</v>
      </c>
      <c r="E63" s="169">
        <f t="shared" si="4"/>
        <v>18130.87</v>
      </c>
      <c r="F63" s="169">
        <f t="shared" si="4"/>
        <v>44724.55</v>
      </c>
      <c r="G63" s="169">
        <f t="shared" si="4"/>
        <v>4811.5599999999995</v>
      </c>
      <c r="H63" s="169">
        <f t="shared" si="4"/>
        <v>12448.05</v>
      </c>
      <c r="I63" s="169">
        <f t="shared" si="4"/>
        <v>20696.510000000002</v>
      </c>
      <c r="J63" s="169">
        <f t="shared" si="4"/>
        <v>23837.48</v>
      </c>
      <c r="K63" s="169">
        <f t="shared" si="4"/>
        <v>412.58</v>
      </c>
      <c r="L63" s="169">
        <f t="shared" si="4"/>
        <v>1535.46</v>
      </c>
      <c r="M63" s="169">
        <f t="shared" si="4"/>
        <v>147.13999999999999</v>
      </c>
      <c r="N63" s="169">
        <f t="shared" si="4"/>
        <v>967.68999999999994</v>
      </c>
      <c r="O63" s="169">
        <f>'Pri Sec_outstanding_6'!E63+NPS_OS_8!M63</f>
        <v>85059</v>
      </c>
      <c r="P63" s="169">
        <f>'Pri Sec_outstanding_6'!F63+NPS_OS_8!N63</f>
        <v>223968.76</v>
      </c>
      <c r="Q63" s="169">
        <f t="shared" si="4"/>
        <v>25518.18</v>
      </c>
      <c r="R63" s="169">
        <f t="shared" si="4"/>
        <v>64469.89</v>
      </c>
      <c r="S63" s="382"/>
      <c r="T63" s="382"/>
    </row>
    <row r="65" spans="1:18" ht="15" customHeight="1">
      <c r="A65" s="669" t="s">
        <v>777</v>
      </c>
      <c r="B65" s="669"/>
      <c r="C65" s="669"/>
      <c r="D65" s="669"/>
      <c r="E65" s="669"/>
      <c r="F65" s="669"/>
      <c r="G65" s="669"/>
      <c r="H65" s="669"/>
      <c r="I65" s="669"/>
      <c r="J65" s="669"/>
      <c r="K65" s="669"/>
      <c r="L65" s="669"/>
      <c r="M65" s="669"/>
      <c r="N65" s="669"/>
      <c r="O65" s="669"/>
      <c r="P65" s="669"/>
      <c r="Q65" s="669"/>
      <c r="R65" s="669"/>
    </row>
  </sheetData>
  <autoFilter ref="A5:T63"/>
  <mergeCells count="18">
    <mergeCell ref="K3:L3"/>
    <mergeCell ref="M3:N3"/>
    <mergeCell ref="O3:P3"/>
    <mergeCell ref="A65:R65"/>
    <mergeCell ref="A1:R1"/>
    <mergeCell ref="B2:C2"/>
    <mergeCell ref="O2:P2"/>
    <mergeCell ref="Q3:R3"/>
    <mergeCell ref="E4:F4"/>
    <mergeCell ref="G4:H4"/>
    <mergeCell ref="I4:J4"/>
    <mergeCell ref="K4:L4"/>
    <mergeCell ref="M4:N4"/>
    <mergeCell ref="O4:P4"/>
    <mergeCell ref="Q4:R4"/>
    <mergeCell ref="E3:F3"/>
    <mergeCell ref="G3:H3"/>
    <mergeCell ref="I3:J3"/>
  </mergeCells>
  <conditionalFormatting sqref="B6">
    <cfRule type="duplicateValues" dxfId="54" priority="15"/>
  </conditionalFormatting>
  <conditionalFormatting sqref="B22">
    <cfRule type="duplicateValues" dxfId="53" priority="16"/>
  </conditionalFormatting>
  <conditionalFormatting sqref="B33:B34 B26:B30">
    <cfRule type="duplicateValues" dxfId="52" priority="17"/>
  </conditionalFormatting>
  <conditionalFormatting sqref="B52">
    <cfRule type="duplicateValues" dxfId="51" priority="18"/>
  </conditionalFormatting>
  <conditionalFormatting sqref="B56">
    <cfRule type="duplicateValues" dxfId="50" priority="19"/>
  </conditionalFormatting>
  <conditionalFormatting sqref="B58">
    <cfRule type="duplicateValues" dxfId="49" priority="20"/>
  </conditionalFormatting>
  <conditionalFormatting sqref="T61:T63">
    <cfRule type="cellIs" dxfId="48" priority="2" operator="greaterThan">
      <formula>100</formula>
    </cfRule>
    <cfRule type="cellIs" dxfId="47" priority="3" operator="greaterThan">
      <formula>100</formula>
    </cfRule>
    <cfRule type="cellIs" dxfId="46" priority="6" operator="greaterThan">
      <formula>100</formula>
    </cfRule>
  </conditionalFormatting>
  <conditionalFormatting sqref="T1:T5 T61:T1048576">
    <cfRule type="cellIs" dxfId="45" priority="4" operator="greaterThan">
      <formula>100</formula>
    </cfRule>
    <cfRule type="cellIs" dxfId="44" priority="5" operator="greaterThan">
      <formula>100</formula>
    </cfRule>
  </conditionalFormatting>
  <conditionalFormatting sqref="S1:T1048576">
    <cfRule type="cellIs" dxfId="43" priority="1" operator="greaterThan">
      <formula>100</formula>
    </cfRule>
  </conditionalFormatting>
  <pageMargins left="0.2" right="0.2" top="0.75" bottom="0.75" header="0.3" footer="0.3"/>
  <pageSetup paperSize="9" scale="6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70"/>
  <sheetViews>
    <sheetView zoomScaleNormal="100" workbookViewId="0">
      <pane xSplit="2" ySplit="4" topLeftCell="C62" activePane="bottomRight" state="frozen"/>
      <selection pane="topRight" activeCell="C1" sqref="C1"/>
      <selection pane="bottomLeft" activeCell="A6" sqref="A6"/>
      <selection pane="bottomRight" activeCell="F70" sqref="F70"/>
    </sheetView>
  </sheetViews>
  <sheetFormatPr defaultRowHeight="15"/>
  <cols>
    <col min="1" max="1" width="6" style="35" customWidth="1"/>
    <col min="2" max="2" width="22.28515625" style="32" customWidth="1"/>
    <col min="3" max="3" width="9.7109375" style="36" bestFit="1" customWidth="1"/>
    <col min="4" max="4" width="8.5703125" style="36" bestFit="1" customWidth="1"/>
    <col min="5" max="5" width="10.140625" style="36" bestFit="1" customWidth="1"/>
    <col min="6" max="6" width="9.140625" style="36" bestFit="1" customWidth="1"/>
    <col min="7" max="7" width="10.140625" style="32" bestFit="1" customWidth="1"/>
    <col min="8" max="8" width="9.7109375" style="36" customWidth="1"/>
    <col min="9" max="9" width="9.85546875" style="32" bestFit="1" customWidth="1"/>
    <col min="10" max="10" width="9.140625" style="36" bestFit="1" customWidth="1"/>
    <col min="11" max="11" width="11.5703125" style="32" bestFit="1" customWidth="1"/>
    <col min="12" max="16384" width="9.140625" style="32"/>
  </cols>
  <sheetData>
    <row r="1" spans="1:10" ht="15.75" customHeight="1">
      <c r="A1" s="652" t="s">
        <v>769</v>
      </c>
      <c r="B1" s="652"/>
      <c r="C1" s="652"/>
      <c r="D1" s="652"/>
      <c r="E1" s="652"/>
      <c r="F1" s="652"/>
      <c r="G1" s="652"/>
      <c r="H1" s="652"/>
      <c r="I1" s="652"/>
      <c r="J1" s="652"/>
    </row>
    <row r="2" spans="1:10" ht="15" customHeight="1">
      <c r="A2" s="33"/>
      <c r="B2" s="34" t="s">
        <v>12</v>
      </c>
      <c r="C2" s="86"/>
      <c r="D2" s="86"/>
      <c r="I2" s="678" t="s">
        <v>178</v>
      </c>
      <c r="J2" s="678"/>
    </row>
    <row r="3" spans="1:10" ht="15" customHeight="1">
      <c r="A3" s="679" t="s">
        <v>168</v>
      </c>
      <c r="B3" s="681" t="s">
        <v>3</v>
      </c>
      <c r="C3" s="683" t="s">
        <v>1</v>
      </c>
      <c r="D3" s="685"/>
      <c r="E3" s="685"/>
      <c r="F3" s="684"/>
      <c r="G3" s="683" t="s">
        <v>276</v>
      </c>
      <c r="H3" s="685"/>
      <c r="I3" s="685"/>
      <c r="J3" s="684"/>
    </row>
    <row r="4" spans="1:10" ht="15" customHeight="1">
      <c r="A4" s="680"/>
      <c r="B4" s="682"/>
      <c r="C4" s="683" t="s">
        <v>274</v>
      </c>
      <c r="D4" s="684"/>
      <c r="E4" s="648" t="s">
        <v>275</v>
      </c>
      <c r="F4" s="648"/>
      <c r="G4" s="683" t="s">
        <v>274</v>
      </c>
      <c r="H4" s="684"/>
      <c r="I4" s="648" t="s">
        <v>275</v>
      </c>
      <c r="J4" s="648"/>
    </row>
    <row r="5" spans="1:10" ht="15" customHeight="1">
      <c r="A5" s="84"/>
      <c r="B5" s="85"/>
      <c r="C5" s="300" t="s">
        <v>30</v>
      </c>
      <c r="D5" s="301" t="s">
        <v>17</v>
      </c>
      <c r="E5" s="300" t="s">
        <v>30</v>
      </c>
      <c r="F5" s="300" t="s">
        <v>17</v>
      </c>
      <c r="G5" s="300" t="s">
        <v>30</v>
      </c>
      <c r="H5" s="301" t="s">
        <v>17</v>
      </c>
      <c r="I5" s="300" t="s">
        <v>30</v>
      </c>
      <c r="J5" s="300" t="s">
        <v>17</v>
      </c>
    </row>
    <row r="6" spans="1:10" ht="15" customHeight="1">
      <c r="A6" s="129">
        <v>1</v>
      </c>
      <c r="B6" s="130" t="s">
        <v>55</v>
      </c>
      <c r="C6" s="189">
        <v>4845</v>
      </c>
      <c r="D6" s="189">
        <v>493</v>
      </c>
      <c r="E6" s="189">
        <v>1574</v>
      </c>
      <c r="F6" s="189">
        <v>745</v>
      </c>
      <c r="G6" s="189">
        <v>568</v>
      </c>
      <c r="H6" s="189">
        <v>14</v>
      </c>
      <c r="I6" s="189">
        <v>275</v>
      </c>
      <c r="J6" s="189">
        <v>95</v>
      </c>
    </row>
    <row r="7" spans="1:10" ht="15" customHeight="1">
      <c r="A7" s="129">
        <v>2</v>
      </c>
      <c r="B7" s="130" t="s">
        <v>56</v>
      </c>
      <c r="C7" s="190">
        <v>0</v>
      </c>
      <c r="D7" s="190">
        <v>0</v>
      </c>
      <c r="E7" s="190">
        <v>0</v>
      </c>
      <c r="F7" s="190">
        <v>0</v>
      </c>
      <c r="G7" s="190">
        <v>0</v>
      </c>
      <c r="H7" s="190">
        <v>0</v>
      </c>
      <c r="I7" s="190">
        <v>0</v>
      </c>
      <c r="J7" s="190">
        <v>0</v>
      </c>
    </row>
    <row r="8" spans="1:10" ht="15" customHeight="1">
      <c r="A8" s="129">
        <v>3</v>
      </c>
      <c r="B8" s="130" t="s">
        <v>57</v>
      </c>
      <c r="C8" s="177">
        <v>4113</v>
      </c>
      <c r="D8" s="177">
        <v>647</v>
      </c>
      <c r="E8" s="177">
        <v>995</v>
      </c>
      <c r="F8" s="177">
        <v>1232</v>
      </c>
      <c r="G8" s="191">
        <v>402</v>
      </c>
      <c r="H8" s="177">
        <v>119</v>
      </c>
      <c r="I8" s="191">
        <v>199</v>
      </c>
      <c r="J8" s="177">
        <v>308</v>
      </c>
    </row>
    <row r="9" spans="1:10" ht="15" customHeight="1">
      <c r="A9" s="129">
        <v>4</v>
      </c>
      <c r="B9" s="130" t="s">
        <v>58</v>
      </c>
      <c r="C9" s="192">
        <v>12876</v>
      </c>
      <c r="D9" s="192">
        <v>14703</v>
      </c>
      <c r="E9" s="192">
        <v>7242</v>
      </c>
      <c r="F9" s="192">
        <v>8617</v>
      </c>
      <c r="G9" s="192">
        <v>32</v>
      </c>
      <c r="H9" s="192">
        <v>53</v>
      </c>
      <c r="I9" s="192">
        <v>20</v>
      </c>
      <c r="J9" s="192">
        <v>45</v>
      </c>
    </row>
    <row r="10" spans="1:10" ht="15" customHeight="1">
      <c r="A10" s="129">
        <v>5</v>
      </c>
      <c r="B10" s="130" t="s">
        <v>59</v>
      </c>
      <c r="C10" s="193">
        <v>339</v>
      </c>
      <c r="D10" s="193">
        <v>218.57</v>
      </c>
      <c r="E10" s="193">
        <v>275</v>
      </c>
      <c r="F10" s="193">
        <v>176.81</v>
      </c>
      <c r="G10" s="193">
        <v>53</v>
      </c>
      <c r="H10" s="193">
        <v>26.72</v>
      </c>
      <c r="I10" s="193">
        <v>63</v>
      </c>
      <c r="J10" s="193">
        <v>43.02</v>
      </c>
    </row>
    <row r="11" spans="1:10" ht="15" customHeight="1">
      <c r="A11" s="129">
        <v>6</v>
      </c>
      <c r="B11" s="89" t="s">
        <v>241</v>
      </c>
      <c r="C11" s="177">
        <v>0</v>
      </c>
      <c r="D11" s="177">
        <v>0</v>
      </c>
      <c r="E11" s="177">
        <v>0</v>
      </c>
      <c r="F11" s="177">
        <v>0</v>
      </c>
      <c r="G11" s="191">
        <v>0</v>
      </c>
      <c r="H11" s="177">
        <v>0</v>
      </c>
      <c r="I11" s="191">
        <v>0</v>
      </c>
      <c r="J11" s="177">
        <v>0</v>
      </c>
    </row>
    <row r="12" spans="1:10" ht="15" customHeight="1">
      <c r="A12" s="129">
        <v>7</v>
      </c>
      <c r="B12" s="130" t="s">
        <v>60</v>
      </c>
      <c r="C12" s="177">
        <v>2104</v>
      </c>
      <c r="D12" s="177">
        <v>272.23</v>
      </c>
      <c r="E12" s="177">
        <v>583</v>
      </c>
      <c r="F12" s="177">
        <v>899.93</v>
      </c>
      <c r="G12" s="191">
        <v>871</v>
      </c>
      <c r="H12" s="177">
        <v>50.21</v>
      </c>
      <c r="I12" s="191">
        <v>234</v>
      </c>
      <c r="J12" s="177">
        <v>347</v>
      </c>
    </row>
    <row r="13" spans="1:10" ht="15" customHeight="1">
      <c r="A13" s="129">
        <v>8</v>
      </c>
      <c r="B13" s="130" t="s">
        <v>61</v>
      </c>
      <c r="C13" s="177">
        <v>15676</v>
      </c>
      <c r="D13" s="177">
        <v>898</v>
      </c>
      <c r="E13" s="177">
        <v>6577</v>
      </c>
      <c r="F13" s="177">
        <v>2449</v>
      </c>
      <c r="G13" s="191">
        <v>1356</v>
      </c>
      <c r="H13" s="177">
        <v>376</v>
      </c>
      <c r="I13" s="191">
        <v>1297</v>
      </c>
      <c r="J13" s="177">
        <v>907</v>
      </c>
    </row>
    <row r="14" spans="1:10" ht="15" customHeight="1">
      <c r="A14" s="129">
        <v>9</v>
      </c>
      <c r="B14" s="130" t="s">
        <v>48</v>
      </c>
      <c r="C14" s="177">
        <v>23</v>
      </c>
      <c r="D14" s="177">
        <v>14.96</v>
      </c>
      <c r="E14" s="177">
        <v>23</v>
      </c>
      <c r="F14" s="177">
        <v>14.96</v>
      </c>
      <c r="G14" s="191">
        <v>6</v>
      </c>
      <c r="H14" s="177">
        <v>3.13</v>
      </c>
      <c r="I14" s="191">
        <v>6</v>
      </c>
      <c r="J14" s="177">
        <v>3.13</v>
      </c>
    </row>
    <row r="15" spans="1:10" ht="15" customHeight="1">
      <c r="A15" s="129">
        <v>10</v>
      </c>
      <c r="B15" s="130" t="s">
        <v>49</v>
      </c>
      <c r="C15" s="177">
        <v>251</v>
      </c>
      <c r="D15" s="177">
        <v>18</v>
      </c>
      <c r="E15" s="177">
        <v>81</v>
      </c>
      <c r="F15" s="177">
        <v>73</v>
      </c>
      <c r="G15" s="191">
        <v>10</v>
      </c>
      <c r="H15" s="177">
        <v>1</v>
      </c>
      <c r="I15" s="191">
        <v>16</v>
      </c>
      <c r="J15" s="177">
        <v>13</v>
      </c>
    </row>
    <row r="16" spans="1:10" ht="15" customHeight="1">
      <c r="A16" s="129">
        <v>11</v>
      </c>
      <c r="B16" s="130" t="s">
        <v>81</v>
      </c>
      <c r="C16" s="177">
        <v>0</v>
      </c>
      <c r="D16" s="177">
        <v>0</v>
      </c>
      <c r="E16" s="177">
        <v>0</v>
      </c>
      <c r="F16" s="177">
        <v>0</v>
      </c>
      <c r="G16" s="191">
        <v>0</v>
      </c>
      <c r="H16" s="177">
        <v>0</v>
      </c>
      <c r="I16" s="191">
        <v>0</v>
      </c>
      <c r="J16" s="177">
        <v>0</v>
      </c>
    </row>
    <row r="17" spans="1:10" ht="15" customHeight="1">
      <c r="A17" s="129">
        <v>12</v>
      </c>
      <c r="B17" s="130" t="s">
        <v>62</v>
      </c>
      <c r="C17" s="177">
        <v>1152</v>
      </c>
      <c r="D17" s="177">
        <v>132</v>
      </c>
      <c r="E17" s="177">
        <v>742</v>
      </c>
      <c r="F17" s="177">
        <v>894</v>
      </c>
      <c r="G17" s="191">
        <v>83</v>
      </c>
      <c r="H17" s="177">
        <v>35</v>
      </c>
      <c r="I17" s="191">
        <v>26</v>
      </c>
      <c r="J17" s="177">
        <v>13</v>
      </c>
    </row>
    <row r="18" spans="1:10" ht="15" customHeight="1">
      <c r="A18" s="129">
        <v>13</v>
      </c>
      <c r="B18" s="130" t="s">
        <v>63</v>
      </c>
      <c r="C18" s="177">
        <v>14</v>
      </c>
      <c r="D18" s="177">
        <v>9.5</v>
      </c>
      <c r="E18" s="177">
        <v>0</v>
      </c>
      <c r="F18" s="177">
        <v>0</v>
      </c>
      <c r="G18" s="191">
        <v>4</v>
      </c>
      <c r="H18" s="177">
        <v>10</v>
      </c>
      <c r="I18" s="191">
        <v>0</v>
      </c>
      <c r="J18" s="177">
        <v>0</v>
      </c>
    </row>
    <row r="19" spans="1:10" ht="15" customHeight="1">
      <c r="A19" s="129">
        <v>14</v>
      </c>
      <c r="B19" s="90" t="s">
        <v>206</v>
      </c>
      <c r="C19" s="177">
        <v>0</v>
      </c>
      <c r="D19" s="177">
        <v>0</v>
      </c>
      <c r="E19" s="177">
        <v>0</v>
      </c>
      <c r="F19" s="177">
        <v>0</v>
      </c>
      <c r="G19" s="191">
        <v>0</v>
      </c>
      <c r="H19" s="177">
        <v>0</v>
      </c>
      <c r="I19" s="191">
        <v>0</v>
      </c>
      <c r="J19" s="177">
        <v>0</v>
      </c>
    </row>
    <row r="20" spans="1:10" ht="15" customHeight="1">
      <c r="A20" s="129">
        <v>15</v>
      </c>
      <c r="B20" s="130" t="s">
        <v>207</v>
      </c>
      <c r="C20" s="177">
        <v>25</v>
      </c>
      <c r="D20" s="177">
        <v>1.47</v>
      </c>
      <c r="E20" s="177">
        <v>22</v>
      </c>
      <c r="F20" s="177">
        <v>20</v>
      </c>
      <c r="G20" s="191">
        <v>0</v>
      </c>
      <c r="H20" s="177">
        <v>0</v>
      </c>
      <c r="I20" s="191">
        <v>0</v>
      </c>
      <c r="J20" s="177">
        <v>0</v>
      </c>
    </row>
    <row r="21" spans="1:10" ht="15" customHeight="1">
      <c r="A21" s="129">
        <v>16</v>
      </c>
      <c r="B21" s="130" t="s">
        <v>64</v>
      </c>
      <c r="C21" s="177">
        <v>7051</v>
      </c>
      <c r="D21" s="177">
        <v>1043</v>
      </c>
      <c r="E21" s="177">
        <v>3376</v>
      </c>
      <c r="F21" s="177">
        <v>3301</v>
      </c>
      <c r="G21" s="191">
        <v>171</v>
      </c>
      <c r="H21" s="177">
        <v>1</v>
      </c>
      <c r="I21" s="191">
        <v>211</v>
      </c>
      <c r="J21" s="177">
        <v>235</v>
      </c>
    </row>
    <row r="22" spans="1:10" ht="15" customHeight="1">
      <c r="A22" s="129">
        <v>17</v>
      </c>
      <c r="B22" s="102" t="s">
        <v>69</v>
      </c>
      <c r="C22" s="177">
        <v>0</v>
      </c>
      <c r="D22" s="177">
        <v>0</v>
      </c>
      <c r="E22" s="177">
        <v>0</v>
      </c>
      <c r="F22" s="177">
        <v>0</v>
      </c>
      <c r="G22" s="191">
        <v>0</v>
      </c>
      <c r="H22" s="177">
        <v>0</v>
      </c>
      <c r="I22" s="191">
        <v>0</v>
      </c>
      <c r="J22" s="177">
        <v>0</v>
      </c>
    </row>
    <row r="23" spans="1:10" ht="15" customHeight="1">
      <c r="A23" s="129">
        <v>18</v>
      </c>
      <c r="B23" s="58" t="s">
        <v>208</v>
      </c>
      <c r="C23" s="177">
        <v>0</v>
      </c>
      <c r="D23" s="177">
        <v>0</v>
      </c>
      <c r="E23" s="177">
        <v>0</v>
      </c>
      <c r="F23" s="177">
        <v>0</v>
      </c>
      <c r="G23" s="191">
        <v>0</v>
      </c>
      <c r="H23" s="177">
        <v>0</v>
      </c>
      <c r="I23" s="191">
        <v>0</v>
      </c>
      <c r="J23" s="177">
        <v>0</v>
      </c>
    </row>
    <row r="24" spans="1:10" ht="15" customHeight="1">
      <c r="A24" s="129">
        <v>19</v>
      </c>
      <c r="B24" s="103" t="s">
        <v>209</v>
      </c>
      <c r="C24" s="177">
        <v>0</v>
      </c>
      <c r="D24" s="177">
        <v>0</v>
      </c>
      <c r="E24" s="177">
        <v>0</v>
      </c>
      <c r="F24" s="177">
        <v>0</v>
      </c>
      <c r="G24" s="191">
        <v>0</v>
      </c>
      <c r="H24" s="177">
        <v>0</v>
      </c>
      <c r="I24" s="191">
        <v>0</v>
      </c>
      <c r="J24" s="177">
        <v>0</v>
      </c>
    </row>
    <row r="25" spans="1:10" ht="15" customHeight="1">
      <c r="A25" s="129">
        <v>20</v>
      </c>
      <c r="B25" s="130" t="s">
        <v>210</v>
      </c>
      <c r="C25" s="177">
        <v>0</v>
      </c>
      <c r="D25" s="177">
        <v>0</v>
      </c>
      <c r="E25" s="177">
        <v>0</v>
      </c>
      <c r="F25" s="177">
        <v>0</v>
      </c>
      <c r="G25" s="177">
        <v>0</v>
      </c>
      <c r="H25" s="177">
        <v>0</v>
      </c>
      <c r="I25" s="177">
        <v>0</v>
      </c>
      <c r="J25" s="177">
        <v>0</v>
      </c>
    </row>
    <row r="26" spans="1:10" ht="15" customHeight="1">
      <c r="A26" s="129">
        <v>21</v>
      </c>
      <c r="B26" s="130" t="s">
        <v>211</v>
      </c>
      <c r="C26" s="177">
        <v>0</v>
      </c>
      <c r="D26" s="177">
        <v>0</v>
      </c>
      <c r="E26" s="177">
        <v>0</v>
      </c>
      <c r="F26" s="177">
        <v>0</v>
      </c>
      <c r="G26" s="191">
        <v>0</v>
      </c>
      <c r="H26" s="177">
        <v>0</v>
      </c>
      <c r="I26" s="191">
        <v>0</v>
      </c>
      <c r="J26" s="177">
        <v>0</v>
      </c>
    </row>
    <row r="27" spans="1:10" ht="15" customHeight="1">
      <c r="A27" s="129">
        <v>22</v>
      </c>
      <c r="B27" s="130" t="s">
        <v>70</v>
      </c>
      <c r="C27" s="177">
        <v>29828</v>
      </c>
      <c r="D27" s="177">
        <v>9136</v>
      </c>
      <c r="E27" s="177">
        <v>23804</v>
      </c>
      <c r="F27" s="177">
        <v>5959</v>
      </c>
      <c r="G27" s="177">
        <v>933</v>
      </c>
      <c r="H27" s="177">
        <v>846</v>
      </c>
      <c r="I27" s="177">
        <v>747</v>
      </c>
      <c r="J27" s="177">
        <v>671</v>
      </c>
    </row>
    <row r="28" spans="1:10" ht="15" customHeight="1">
      <c r="A28" s="129">
        <v>23</v>
      </c>
      <c r="B28" s="130" t="s">
        <v>65</v>
      </c>
      <c r="C28" s="177">
        <v>898</v>
      </c>
      <c r="D28" s="177">
        <v>48</v>
      </c>
      <c r="E28" s="177">
        <v>298</v>
      </c>
      <c r="F28" s="177">
        <v>404</v>
      </c>
      <c r="G28" s="177">
        <v>48</v>
      </c>
      <c r="H28" s="177">
        <v>23</v>
      </c>
      <c r="I28" s="177">
        <v>73</v>
      </c>
      <c r="J28" s="177">
        <v>58</v>
      </c>
    </row>
    <row r="29" spans="1:10" ht="15" customHeight="1">
      <c r="A29" s="129">
        <v>24</v>
      </c>
      <c r="B29" s="130" t="s">
        <v>212</v>
      </c>
      <c r="C29" s="177">
        <v>4930</v>
      </c>
      <c r="D29" s="177">
        <v>380</v>
      </c>
      <c r="E29" s="177">
        <v>1043</v>
      </c>
      <c r="F29" s="177">
        <v>4313</v>
      </c>
      <c r="G29" s="177">
        <v>262</v>
      </c>
      <c r="H29" s="177">
        <v>21</v>
      </c>
      <c r="I29" s="177">
        <v>20</v>
      </c>
      <c r="J29" s="177">
        <v>13</v>
      </c>
    </row>
    <row r="30" spans="1:10" ht="15" customHeight="1">
      <c r="A30" s="129">
        <v>25</v>
      </c>
      <c r="B30" s="130" t="s">
        <v>66</v>
      </c>
      <c r="C30" s="177">
        <v>9232</v>
      </c>
      <c r="D30" s="177">
        <v>89</v>
      </c>
      <c r="E30" s="177">
        <v>8002</v>
      </c>
      <c r="F30" s="177">
        <v>6367</v>
      </c>
      <c r="G30" s="191">
        <v>1123</v>
      </c>
      <c r="H30" s="177">
        <v>48</v>
      </c>
      <c r="I30" s="191">
        <v>297</v>
      </c>
      <c r="J30" s="177">
        <v>161</v>
      </c>
    </row>
    <row r="31" spans="1:10" ht="15" customHeight="1">
      <c r="A31" s="129">
        <v>26</v>
      </c>
      <c r="B31" s="89" t="s">
        <v>67</v>
      </c>
      <c r="C31" s="177">
        <v>0</v>
      </c>
      <c r="D31" s="177">
        <v>0</v>
      </c>
      <c r="E31" s="177">
        <v>0</v>
      </c>
      <c r="F31" s="177">
        <v>0</v>
      </c>
      <c r="G31" s="191">
        <v>0</v>
      </c>
      <c r="H31" s="177">
        <v>0</v>
      </c>
      <c r="I31" s="191">
        <v>0</v>
      </c>
      <c r="J31" s="177">
        <v>0</v>
      </c>
    </row>
    <row r="32" spans="1:10" ht="15" customHeight="1">
      <c r="A32" s="129">
        <v>27</v>
      </c>
      <c r="B32" s="130" t="s">
        <v>50</v>
      </c>
      <c r="C32" s="177">
        <v>709</v>
      </c>
      <c r="D32" s="177">
        <v>5</v>
      </c>
      <c r="E32" s="177">
        <v>42</v>
      </c>
      <c r="F32" s="177">
        <v>16</v>
      </c>
      <c r="G32" s="177">
        <v>150</v>
      </c>
      <c r="H32" s="177">
        <v>0.39</v>
      </c>
      <c r="I32" s="177">
        <v>38</v>
      </c>
      <c r="J32" s="177">
        <v>15.8</v>
      </c>
    </row>
    <row r="33" spans="1:10" s="83" customFormat="1" ht="15" customHeight="1">
      <c r="A33" s="299" t="s">
        <v>345</v>
      </c>
      <c r="B33" s="132" t="s">
        <v>286</v>
      </c>
      <c r="C33" s="180">
        <f>SUM(C6:C32)</f>
        <v>94066</v>
      </c>
      <c r="D33" s="180">
        <f t="shared" ref="D33:J33" si="0">SUM(D6:D32)</f>
        <v>28108.73</v>
      </c>
      <c r="E33" s="180">
        <f t="shared" si="0"/>
        <v>54679</v>
      </c>
      <c r="F33" s="180">
        <f t="shared" si="0"/>
        <v>35481.699999999997</v>
      </c>
      <c r="G33" s="180">
        <f t="shared" si="0"/>
        <v>6072</v>
      </c>
      <c r="H33" s="180">
        <f t="shared" si="0"/>
        <v>1627.45</v>
      </c>
      <c r="I33" s="180">
        <f t="shared" si="0"/>
        <v>3522</v>
      </c>
      <c r="J33" s="180">
        <f t="shared" si="0"/>
        <v>2927.9500000000003</v>
      </c>
    </row>
    <row r="34" spans="1:10" ht="15" customHeight="1">
      <c r="A34" s="129">
        <v>28</v>
      </c>
      <c r="B34" s="130" t="s">
        <v>47</v>
      </c>
      <c r="C34" s="177">
        <v>0</v>
      </c>
      <c r="D34" s="177">
        <v>0</v>
      </c>
      <c r="E34" s="177">
        <v>25</v>
      </c>
      <c r="F34" s="177">
        <v>206.57</v>
      </c>
      <c r="G34" s="177">
        <v>0</v>
      </c>
      <c r="H34" s="177">
        <v>0</v>
      </c>
      <c r="I34" s="177">
        <v>0</v>
      </c>
      <c r="J34" s="177">
        <v>0</v>
      </c>
    </row>
    <row r="35" spans="1:10" ht="15" customHeight="1">
      <c r="A35" s="129">
        <v>29</v>
      </c>
      <c r="B35" s="130" t="s">
        <v>214</v>
      </c>
      <c r="C35" s="177">
        <v>0</v>
      </c>
      <c r="D35" s="177">
        <v>0</v>
      </c>
      <c r="E35" s="177">
        <v>0</v>
      </c>
      <c r="F35" s="177">
        <v>0</v>
      </c>
      <c r="G35" s="191">
        <v>0</v>
      </c>
      <c r="H35" s="177">
        <v>0</v>
      </c>
      <c r="I35" s="191">
        <v>0</v>
      </c>
      <c r="J35" s="177">
        <v>0</v>
      </c>
    </row>
    <row r="36" spans="1:10" ht="15" customHeight="1">
      <c r="A36" s="129">
        <v>30</v>
      </c>
      <c r="B36" s="130" t="s">
        <v>215</v>
      </c>
      <c r="C36" s="177">
        <v>0</v>
      </c>
      <c r="D36" s="177">
        <v>0</v>
      </c>
      <c r="E36" s="177">
        <v>0</v>
      </c>
      <c r="F36" s="177">
        <v>0</v>
      </c>
      <c r="G36" s="177">
        <v>0</v>
      </c>
      <c r="H36" s="177">
        <v>0</v>
      </c>
      <c r="I36" s="177">
        <v>0</v>
      </c>
      <c r="J36" s="177">
        <v>0</v>
      </c>
    </row>
    <row r="37" spans="1:10" ht="15" customHeight="1">
      <c r="A37" s="129">
        <v>31</v>
      </c>
      <c r="B37" s="130" t="s">
        <v>78</v>
      </c>
      <c r="C37" s="177">
        <v>0</v>
      </c>
      <c r="D37" s="177">
        <v>0</v>
      </c>
      <c r="E37" s="177">
        <v>0</v>
      </c>
      <c r="F37" s="177">
        <v>0</v>
      </c>
      <c r="G37" s="177">
        <v>0</v>
      </c>
      <c r="H37" s="177">
        <v>0</v>
      </c>
      <c r="I37" s="177">
        <v>0</v>
      </c>
      <c r="J37" s="177">
        <v>0</v>
      </c>
    </row>
    <row r="38" spans="1:10" ht="15" customHeight="1">
      <c r="A38" s="129">
        <v>32</v>
      </c>
      <c r="B38" s="130" t="s">
        <v>51</v>
      </c>
      <c r="C38" s="177">
        <v>0</v>
      </c>
      <c r="D38" s="177">
        <v>0</v>
      </c>
      <c r="E38" s="177">
        <v>0</v>
      </c>
      <c r="F38" s="177">
        <v>0</v>
      </c>
      <c r="G38" s="191">
        <v>0</v>
      </c>
      <c r="H38" s="177">
        <v>0</v>
      </c>
      <c r="I38" s="191">
        <v>0</v>
      </c>
      <c r="J38" s="177">
        <v>0</v>
      </c>
    </row>
    <row r="39" spans="1:10" ht="15" customHeight="1">
      <c r="A39" s="129">
        <v>33</v>
      </c>
      <c r="B39" s="130" t="s">
        <v>216</v>
      </c>
      <c r="C39" s="177">
        <v>0</v>
      </c>
      <c r="D39" s="177">
        <v>0</v>
      </c>
      <c r="E39" s="177">
        <v>0</v>
      </c>
      <c r="F39" s="177">
        <v>0</v>
      </c>
      <c r="G39" s="191">
        <v>0</v>
      </c>
      <c r="H39" s="177">
        <v>0</v>
      </c>
      <c r="I39" s="191">
        <v>0</v>
      </c>
      <c r="J39" s="177">
        <v>0</v>
      </c>
    </row>
    <row r="40" spans="1:10" ht="15" customHeight="1">
      <c r="A40" s="129">
        <v>34</v>
      </c>
      <c r="B40" s="130" t="s">
        <v>217</v>
      </c>
      <c r="C40" s="177">
        <v>0</v>
      </c>
      <c r="D40" s="177">
        <v>0</v>
      </c>
      <c r="E40" s="177">
        <v>0</v>
      </c>
      <c r="F40" s="177">
        <v>0</v>
      </c>
      <c r="G40" s="191">
        <v>0</v>
      </c>
      <c r="H40" s="177">
        <v>0</v>
      </c>
      <c r="I40" s="191">
        <v>0</v>
      </c>
      <c r="J40" s="177">
        <v>0</v>
      </c>
    </row>
    <row r="41" spans="1:10" ht="15" customHeight="1">
      <c r="A41" s="129">
        <v>35</v>
      </c>
      <c r="B41" s="130" t="s">
        <v>218</v>
      </c>
      <c r="C41" s="177">
        <v>0</v>
      </c>
      <c r="D41" s="177">
        <v>0</v>
      </c>
      <c r="E41" s="177">
        <v>0</v>
      </c>
      <c r="F41" s="177">
        <v>0</v>
      </c>
      <c r="G41" s="191">
        <v>0</v>
      </c>
      <c r="H41" s="177">
        <v>0</v>
      </c>
      <c r="I41" s="191">
        <v>0</v>
      </c>
      <c r="J41" s="177">
        <v>0</v>
      </c>
    </row>
    <row r="42" spans="1:10" ht="15" customHeight="1">
      <c r="A42" s="129">
        <v>36</v>
      </c>
      <c r="B42" s="130" t="s">
        <v>71</v>
      </c>
      <c r="C42" s="177">
        <v>115</v>
      </c>
      <c r="D42" s="177">
        <v>26</v>
      </c>
      <c r="E42" s="177">
        <v>115</v>
      </c>
      <c r="F42" s="177">
        <v>117</v>
      </c>
      <c r="G42" s="177">
        <v>15</v>
      </c>
      <c r="H42" s="177">
        <v>1</v>
      </c>
      <c r="I42" s="177">
        <v>62</v>
      </c>
      <c r="J42" s="177">
        <v>118</v>
      </c>
    </row>
    <row r="43" spans="1:10" ht="15" customHeight="1">
      <c r="A43" s="129">
        <v>37</v>
      </c>
      <c r="B43" s="130" t="s">
        <v>72</v>
      </c>
      <c r="C43" s="177">
        <v>5783</v>
      </c>
      <c r="D43" s="177">
        <v>2739</v>
      </c>
      <c r="E43" s="177">
        <v>5783</v>
      </c>
      <c r="F43" s="177">
        <v>2739</v>
      </c>
      <c r="G43" s="194">
        <v>3196</v>
      </c>
      <c r="H43" s="194">
        <v>2221</v>
      </c>
      <c r="I43" s="194">
        <v>3196</v>
      </c>
      <c r="J43" s="194">
        <v>2221</v>
      </c>
    </row>
    <row r="44" spans="1:10" ht="15" customHeight="1">
      <c r="A44" s="129">
        <v>38</v>
      </c>
      <c r="B44" s="130" t="s">
        <v>219</v>
      </c>
      <c r="C44" s="177">
        <v>0</v>
      </c>
      <c r="D44" s="177">
        <v>0</v>
      </c>
      <c r="E44" s="177">
        <v>0</v>
      </c>
      <c r="F44" s="177">
        <v>0</v>
      </c>
      <c r="G44" s="177">
        <v>0</v>
      </c>
      <c r="H44" s="177">
        <v>0</v>
      </c>
      <c r="I44" s="177">
        <v>0</v>
      </c>
      <c r="J44" s="177">
        <v>0</v>
      </c>
    </row>
    <row r="45" spans="1:10" ht="15" customHeight="1">
      <c r="A45" s="129">
        <v>39</v>
      </c>
      <c r="B45" s="130" t="s">
        <v>220</v>
      </c>
      <c r="C45" s="177">
        <v>0</v>
      </c>
      <c r="D45" s="177">
        <v>0</v>
      </c>
      <c r="E45" s="177">
        <v>0</v>
      </c>
      <c r="F45" s="177">
        <v>0</v>
      </c>
      <c r="G45" s="177">
        <v>0</v>
      </c>
      <c r="H45" s="177">
        <v>0</v>
      </c>
      <c r="I45" s="177">
        <v>0</v>
      </c>
      <c r="J45" s="177">
        <v>0</v>
      </c>
    </row>
    <row r="46" spans="1:10" ht="15" customHeight="1">
      <c r="A46" s="129">
        <v>40</v>
      </c>
      <c r="B46" s="130" t="s">
        <v>221</v>
      </c>
      <c r="C46" s="177">
        <v>0</v>
      </c>
      <c r="D46" s="177">
        <v>0</v>
      </c>
      <c r="E46" s="177">
        <v>0</v>
      </c>
      <c r="F46" s="177">
        <v>0</v>
      </c>
      <c r="G46" s="177">
        <v>0</v>
      </c>
      <c r="H46" s="177">
        <v>0</v>
      </c>
      <c r="I46" s="177">
        <v>0</v>
      </c>
      <c r="J46" s="177">
        <v>0</v>
      </c>
    </row>
    <row r="47" spans="1:10" ht="15" customHeight="1">
      <c r="A47" s="129">
        <v>41</v>
      </c>
      <c r="B47" s="130" t="s">
        <v>222</v>
      </c>
      <c r="C47" s="177">
        <v>1</v>
      </c>
      <c r="D47" s="177">
        <v>3.5</v>
      </c>
      <c r="E47" s="177">
        <v>1</v>
      </c>
      <c r="F47" s="177">
        <v>3.5</v>
      </c>
      <c r="G47" s="177">
        <v>1</v>
      </c>
      <c r="H47" s="177">
        <v>3.5</v>
      </c>
      <c r="I47" s="177">
        <v>1</v>
      </c>
      <c r="J47" s="177">
        <v>3.5</v>
      </c>
    </row>
    <row r="48" spans="1:10" ht="15" customHeight="1">
      <c r="A48" s="129">
        <v>42</v>
      </c>
      <c r="B48" s="130" t="s">
        <v>223</v>
      </c>
      <c r="C48" s="177">
        <v>0</v>
      </c>
      <c r="D48" s="177">
        <v>0</v>
      </c>
      <c r="E48" s="177">
        <v>0</v>
      </c>
      <c r="F48" s="177">
        <v>0</v>
      </c>
      <c r="G48" s="177">
        <v>0</v>
      </c>
      <c r="H48" s="177">
        <v>0</v>
      </c>
      <c r="I48" s="177">
        <v>0</v>
      </c>
      <c r="J48" s="177">
        <v>0</v>
      </c>
    </row>
    <row r="49" spans="1:10" ht="15" customHeight="1">
      <c r="A49" s="129">
        <v>43</v>
      </c>
      <c r="B49" s="316" t="s">
        <v>73</v>
      </c>
      <c r="C49" s="177">
        <v>0</v>
      </c>
      <c r="D49" s="177">
        <v>0</v>
      </c>
      <c r="E49" s="177">
        <v>0</v>
      </c>
      <c r="F49" s="177">
        <v>0</v>
      </c>
      <c r="G49" s="177">
        <v>0</v>
      </c>
      <c r="H49" s="177">
        <v>0</v>
      </c>
      <c r="I49" s="177">
        <v>0</v>
      </c>
      <c r="J49" s="177">
        <v>0</v>
      </c>
    </row>
    <row r="50" spans="1:10" ht="15" customHeight="1">
      <c r="A50" s="129">
        <v>44</v>
      </c>
      <c r="B50" s="130" t="s">
        <v>224</v>
      </c>
      <c r="C50" s="177">
        <v>0</v>
      </c>
      <c r="D50" s="177">
        <v>0</v>
      </c>
      <c r="E50" s="177">
        <v>0</v>
      </c>
      <c r="F50" s="177">
        <v>0</v>
      </c>
      <c r="G50" s="177">
        <v>0</v>
      </c>
      <c r="H50" s="177">
        <v>0</v>
      </c>
      <c r="I50" s="177">
        <v>0</v>
      </c>
      <c r="J50" s="177">
        <v>0</v>
      </c>
    </row>
    <row r="51" spans="1:10" ht="15" customHeight="1">
      <c r="A51" s="129">
        <v>45</v>
      </c>
      <c r="B51" s="130" t="s">
        <v>225</v>
      </c>
      <c r="C51" s="177">
        <v>0</v>
      </c>
      <c r="D51" s="177">
        <v>0</v>
      </c>
      <c r="E51" s="177">
        <v>0</v>
      </c>
      <c r="F51" s="177">
        <v>0</v>
      </c>
      <c r="G51" s="177">
        <v>0</v>
      </c>
      <c r="H51" s="177">
        <v>0</v>
      </c>
      <c r="I51" s="177">
        <v>0</v>
      </c>
      <c r="J51" s="177">
        <v>0</v>
      </c>
    </row>
    <row r="52" spans="1:10" ht="15" customHeight="1">
      <c r="A52" s="129">
        <v>46</v>
      </c>
      <c r="B52" s="130" t="s">
        <v>226</v>
      </c>
      <c r="C52" s="177">
        <v>0</v>
      </c>
      <c r="D52" s="177">
        <v>0</v>
      </c>
      <c r="E52" s="177">
        <v>0</v>
      </c>
      <c r="F52" s="177">
        <v>0</v>
      </c>
      <c r="G52" s="177">
        <v>0</v>
      </c>
      <c r="H52" s="177">
        <v>0</v>
      </c>
      <c r="I52" s="177">
        <v>0</v>
      </c>
      <c r="J52" s="177">
        <v>0</v>
      </c>
    </row>
    <row r="53" spans="1:10" ht="15" customHeight="1">
      <c r="A53" s="129">
        <v>47</v>
      </c>
      <c r="B53" s="130" t="s">
        <v>77</v>
      </c>
      <c r="C53" s="177">
        <v>0</v>
      </c>
      <c r="D53" s="177">
        <v>0</v>
      </c>
      <c r="E53" s="177">
        <v>0</v>
      </c>
      <c r="F53" s="177">
        <v>0</v>
      </c>
      <c r="G53" s="191">
        <v>0</v>
      </c>
      <c r="H53" s="177">
        <v>0</v>
      </c>
      <c r="I53" s="191">
        <v>0</v>
      </c>
      <c r="J53" s="177">
        <v>0</v>
      </c>
    </row>
    <row r="54" spans="1:10" ht="15" customHeight="1">
      <c r="A54" s="129">
        <v>48</v>
      </c>
      <c r="B54" s="130" t="s">
        <v>227</v>
      </c>
      <c r="C54" s="177">
        <v>0</v>
      </c>
      <c r="D54" s="177">
        <v>0</v>
      </c>
      <c r="E54" s="177">
        <v>0</v>
      </c>
      <c r="F54" s="177">
        <v>0</v>
      </c>
      <c r="G54" s="191">
        <v>0</v>
      </c>
      <c r="H54" s="177">
        <v>0</v>
      </c>
      <c r="I54" s="191">
        <v>0</v>
      </c>
      <c r="J54" s="177">
        <v>0</v>
      </c>
    </row>
    <row r="55" spans="1:10" ht="15" customHeight="1">
      <c r="A55" s="129">
        <v>49</v>
      </c>
      <c r="B55" s="130" t="s">
        <v>76</v>
      </c>
      <c r="C55" s="177">
        <v>12385</v>
      </c>
      <c r="D55" s="177">
        <v>866.26</v>
      </c>
      <c r="E55" s="177">
        <v>5850</v>
      </c>
      <c r="F55" s="177">
        <v>12797</v>
      </c>
      <c r="G55" s="191">
        <v>6</v>
      </c>
      <c r="H55" s="177">
        <v>0.05</v>
      </c>
      <c r="I55" s="191">
        <v>11</v>
      </c>
      <c r="J55" s="177">
        <v>24.1</v>
      </c>
    </row>
    <row r="56" spans="1:10" s="83" customFormat="1" ht="15" customHeight="1">
      <c r="A56" s="132" t="s">
        <v>345</v>
      </c>
      <c r="B56" s="132" t="s">
        <v>287</v>
      </c>
      <c r="C56" s="180">
        <f>SUM(C34:C55)</f>
        <v>18284</v>
      </c>
      <c r="D56" s="180">
        <f t="shared" ref="D56:J56" si="1">SUM(D34:D55)</f>
        <v>3634.76</v>
      </c>
      <c r="E56" s="180">
        <f t="shared" si="1"/>
        <v>11774</v>
      </c>
      <c r="F56" s="180">
        <f t="shared" si="1"/>
        <v>15863.07</v>
      </c>
      <c r="G56" s="180">
        <f t="shared" si="1"/>
        <v>3218</v>
      </c>
      <c r="H56" s="180">
        <f t="shared" si="1"/>
        <v>2225.5500000000002</v>
      </c>
      <c r="I56" s="180">
        <f t="shared" si="1"/>
        <v>3270</v>
      </c>
      <c r="J56" s="180">
        <f t="shared" si="1"/>
        <v>2366.6</v>
      </c>
    </row>
    <row r="57" spans="1:10" ht="15" customHeight="1">
      <c r="A57" s="129">
        <v>50</v>
      </c>
      <c r="B57" s="130" t="s">
        <v>46</v>
      </c>
      <c r="C57" s="177">
        <v>23803</v>
      </c>
      <c r="D57" s="177">
        <v>3776.3</v>
      </c>
      <c r="E57" s="177">
        <v>13859</v>
      </c>
      <c r="F57" s="177">
        <v>3606.42</v>
      </c>
      <c r="G57" s="191">
        <v>3462</v>
      </c>
      <c r="H57" s="191">
        <v>280.23</v>
      </c>
      <c r="I57" s="191">
        <v>1941</v>
      </c>
      <c r="J57" s="191">
        <v>447.45</v>
      </c>
    </row>
    <row r="58" spans="1:10" ht="15" customHeight="1">
      <c r="A58" s="129">
        <v>51</v>
      </c>
      <c r="B58" s="130" t="s">
        <v>228</v>
      </c>
      <c r="C58" s="177">
        <v>24499</v>
      </c>
      <c r="D58" s="177">
        <v>8677</v>
      </c>
      <c r="E58" s="177">
        <v>18544</v>
      </c>
      <c r="F58" s="177">
        <v>6568</v>
      </c>
      <c r="G58" s="177">
        <v>1894</v>
      </c>
      <c r="H58" s="177">
        <v>1790</v>
      </c>
      <c r="I58" s="177">
        <v>2877</v>
      </c>
      <c r="J58" s="177">
        <v>2719</v>
      </c>
    </row>
    <row r="59" spans="1:10" ht="15" customHeight="1">
      <c r="A59" s="129">
        <v>52</v>
      </c>
      <c r="B59" s="130" t="s">
        <v>52</v>
      </c>
      <c r="C59" s="272">
        <v>43751</v>
      </c>
      <c r="D59" s="272">
        <v>8715.1200000000008</v>
      </c>
      <c r="E59" s="272">
        <v>21338</v>
      </c>
      <c r="F59" s="272">
        <v>19095.53</v>
      </c>
      <c r="G59" s="272">
        <v>205</v>
      </c>
      <c r="H59" s="272">
        <v>22.55</v>
      </c>
      <c r="I59" s="272">
        <v>1801</v>
      </c>
      <c r="J59" s="272">
        <v>1512.23</v>
      </c>
    </row>
    <row r="60" spans="1:10" s="271" customFormat="1" ht="15" customHeight="1">
      <c r="A60" s="273" t="s">
        <v>345</v>
      </c>
      <c r="B60" s="74" t="s">
        <v>293</v>
      </c>
      <c r="C60" s="180">
        <f>SUM(C57:C59)</f>
        <v>92053</v>
      </c>
      <c r="D60" s="180">
        <f t="shared" ref="D60:J60" si="2">SUM(D57:D59)</f>
        <v>21168.42</v>
      </c>
      <c r="E60" s="180">
        <f t="shared" si="2"/>
        <v>53741</v>
      </c>
      <c r="F60" s="180">
        <f t="shared" si="2"/>
        <v>29269.949999999997</v>
      </c>
      <c r="G60" s="180">
        <f t="shared" si="2"/>
        <v>5561</v>
      </c>
      <c r="H60" s="180">
        <f t="shared" si="2"/>
        <v>2092.7800000000002</v>
      </c>
      <c r="I60" s="180">
        <f t="shared" si="2"/>
        <v>6619</v>
      </c>
      <c r="J60" s="180">
        <f t="shared" si="2"/>
        <v>4678.68</v>
      </c>
    </row>
    <row r="61" spans="1:10" s="187" customFormat="1" ht="15" customHeight="1">
      <c r="A61" s="62">
        <v>53</v>
      </c>
      <c r="B61" s="63" t="s">
        <v>288</v>
      </c>
      <c r="C61" s="177">
        <v>23856</v>
      </c>
      <c r="D61" s="177">
        <v>1274.43</v>
      </c>
      <c r="E61" s="177">
        <v>62</v>
      </c>
      <c r="F61" s="177">
        <v>221.45</v>
      </c>
      <c r="G61" s="191">
        <v>0</v>
      </c>
      <c r="H61" s="177">
        <v>0</v>
      </c>
      <c r="I61" s="191">
        <v>0</v>
      </c>
      <c r="J61" s="177">
        <v>0</v>
      </c>
    </row>
    <row r="62" spans="1:10" s="271" customFormat="1" ht="15" customHeight="1">
      <c r="A62" s="273" t="s">
        <v>345</v>
      </c>
      <c r="B62" s="74" t="s">
        <v>289</v>
      </c>
      <c r="C62" s="180">
        <f>C61</f>
        <v>23856</v>
      </c>
      <c r="D62" s="180">
        <f t="shared" ref="D62:J62" si="3">D61</f>
        <v>1274.43</v>
      </c>
      <c r="E62" s="180">
        <f t="shared" si="3"/>
        <v>62</v>
      </c>
      <c r="F62" s="180">
        <f t="shared" si="3"/>
        <v>221.45</v>
      </c>
      <c r="G62" s="180">
        <f t="shared" si="3"/>
        <v>0</v>
      </c>
      <c r="H62" s="180">
        <f t="shared" si="3"/>
        <v>0</v>
      </c>
      <c r="I62" s="180">
        <f t="shared" si="3"/>
        <v>0</v>
      </c>
      <c r="J62" s="180">
        <f t="shared" si="3"/>
        <v>0</v>
      </c>
    </row>
    <row r="63" spans="1:10" s="271" customFormat="1" ht="15" customHeight="1">
      <c r="A63" s="273" t="s">
        <v>345</v>
      </c>
      <c r="B63" s="74" t="s">
        <v>290</v>
      </c>
      <c r="C63" s="180">
        <f>C62+C60+C56+C33</f>
        <v>228259</v>
      </c>
      <c r="D63" s="180">
        <f t="shared" ref="D63:J63" si="4">D62+D60+D56+D33</f>
        <v>54186.34</v>
      </c>
      <c r="E63" s="180">
        <f t="shared" si="4"/>
        <v>120256</v>
      </c>
      <c r="F63" s="180">
        <f t="shared" si="4"/>
        <v>80836.17</v>
      </c>
      <c r="G63" s="180">
        <f t="shared" si="4"/>
        <v>14851</v>
      </c>
      <c r="H63" s="180">
        <f t="shared" si="4"/>
        <v>5945.78</v>
      </c>
      <c r="I63" s="180">
        <f t="shared" si="4"/>
        <v>13411</v>
      </c>
      <c r="J63" s="180">
        <f t="shared" si="4"/>
        <v>9973.2300000000014</v>
      </c>
    </row>
    <row r="64" spans="1:10" ht="15" customHeight="1">
      <c r="A64" s="677" t="s">
        <v>777</v>
      </c>
      <c r="B64" s="677"/>
      <c r="C64" s="677"/>
      <c r="D64" s="677"/>
      <c r="E64" s="677"/>
      <c r="F64" s="677"/>
      <c r="G64" s="677"/>
      <c r="H64" s="677"/>
      <c r="I64" s="677"/>
      <c r="J64" s="677"/>
    </row>
    <row r="66" spans="3:10">
      <c r="C66" s="476">
        <v>405691</v>
      </c>
      <c r="D66" s="476">
        <v>87487.950000000012</v>
      </c>
      <c r="E66" s="476">
        <v>307168</v>
      </c>
      <c r="F66" s="476">
        <v>113314.56</v>
      </c>
      <c r="G66" s="477">
        <v>30638</v>
      </c>
      <c r="H66" s="476">
        <v>6666.630000000001</v>
      </c>
      <c r="I66" s="477">
        <v>28170</v>
      </c>
      <c r="J66" s="476">
        <v>11268.59</v>
      </c>
    </row>
    <row r="68" spans="3:10">
      <c r="E68" s="36">
        <f>E63+C63</f>
        <v>348515</v>
      </c>
    </row>
    <row r="70" spans="3:10">
      <c r="F70" s="37">
        <f>F63/E63</f>
        <v>0.67220072179350721</v>
      </c>
    </row>
  </sheetData>
  <mergeCells count="11">
    <mergeCell ref="A64:J64"/>
    <mergeCell ref="A1:J1"/>
    <mergeCell ref="I2:J2"/>
    <mergeCell ref="A3:A4"/>
    <mergeCell ref="B3:B4"/>
    <mergeCell ref="C4:D4"/>
    <mergeCell ref="E4:F4"/>
    <mergeCell ref="C3:F3"/>
    <mergeCell ref="G3:J3"/>
    <mergeCell ref="G4:H4"/>
    <mergeCell ref="I4:J4"/>
  </mergeCells>
  <conditionalFormatting sqref="C2">
    <cfRule type="cellIs" dxfId="42" priority="8" operator="lessThan">
      <formula>0</formula>
    </cfRule>
  </conditionalFormatting>
  <conditionalFormatting sqref="I2">
    <cfRule type="cellIs" dxfId="41" priority="7" operator="lessThan">
      <formula>0</formula>
    </cfRule>
  </conditionalFormatting>
  <conditionalFormatting sqref="B6">
    <cfRule type="duplicateValues" dxfId="40" priority="1"/>
  </conditionalFormatting>
  <conditionalFormatting sqref="B22">
    <cfRule type="duplicateValues" dxfId="39" priority="2"/>
  </conditionalFormatting>
  <conditionalFormatting sqref="B33:B34 B26:B30">
    <cfRule type="duplicateValues" dxfId="38" priority="3"/>
  </conditionalFormatting>
  <conditionalFormatting sqref="B52">
    <cfRule type="duplicateValues" dxfId="37" priority="4"/>
  </conditionalFormatting>
  <conditionalFormatting sqref="B56">
    <cfRule type="duplicateValues" dxfId="36" priority="5"/>
  </conditionalFormatting>
  <conditionalFormatting sqref="B58">
    <cfRule type="duplicateValues" dxfId="35" priority="6"/>
  </conditionalFormatting>
  <pageMargins left="1.2" right="0.7" top="0.5" bottom="0.5" header="0.3" footer="0.3"/>
  <pageSetup paperSize="9" scale="7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29" sqref="E29"/>
    </sheetView>
  </sheetViews>
  <sheetFormatPr defaultRowHeight="15"/>
  <cols>
    <col min="1" max="1" width="5.5703125" style="22" customWidth="1"/>
    <col min="2" max="2" width="25.42578125" style="11" customWidth="1"/>
    <col min="3" max="3" width="10.5703125" style="11" customWidth="1"/>
    <col min="4" max="4" width="9.140625" style="23"/>
    <col min="5" max="5" width="10.140625" style="11" customWidth="1"/>
    <col min="6" max="6" width="9.140625" style="23"/>
    <col min="7" max="7" width="9.85546875" style="11" bestFit="1" customWidth="1"/>
    <col min="8" max="8" width="9.140625" style="23"/>
    <col min="9" max="9" width="9.85546875" style="11" bestFit="1" customWidth="1"/>
    <col min="10" max="10" width="13" style="23" customWidth="1"/>
    <col min="11" max="16384" width="9.140625" style="11"/>
  </cols>
  <sheetData>
    <row r="1" spans="1:10">
      <c r="A1" s="617" t="s">
        <v>101</v>
      </c>
      <c r="B1" s="617"/>
      <c r="C1" s="617"/>
      <c r="D1" s="617"/>
      <c r="E1" s="617"/>
      <c r="F1" s="617"/>
      <c r="G1" s="617"/>
      <c r="H1" s="617"/>
      <c r="I1" s="617"/>
      <c r="J1" s="617"/>
    </row>
    <row r="2" spans="1:10">
      <c r="A2" s="12"/>
      <c r="B2" s="13" t="s">
        <v>111</v>
      </c>
      <c r="C2" s="617" t="s">
        <v>102</v>
      </c>
      <c r="D2" s="617"/>
      <c r="E2" s="617"/>
      <c r="F2" s="617"/>
      <c r="G2" s="617" t="s">
        <v>119</v>
      </c>
      <c r="H2" s="617"/>
      <c r="I2" s="617"/>
      <c r="J2" s="14" t="s">
        <v>103</v>
      </c>
    </row>
    <row r="3" spans="1:10" ht="34.5" customHeight="1">
      <c r="A3" s="15" t="s">
        <v>104</v>
      </c>
      <c r="B3" s="16" t="s">
        <v>105</v>
      </c>
      <c r="C3" s="686" t="s">
        <v>106</v>
      </c>
      <c r="D3" s="686"/>
      <c r="E3" s="686" t="s">
        <v>107</v>
      </c>
      <c r="F3" s="686"/>
      <c r="G3" s="686" t="s">
        <v>106</v>
      </c>
      <c r="H3" s="686"/>
      <c r="I3" s="686" t="s">
        <v>107</v>
      </c>
      <c r="J3" s="686"/>
    </row>
    <row r="4" spans="1:10" ht="21.75" customHeight="1">
      <c r="A4" s="17"/>
      <c r="B4" s="10"/>
      <c r="C4" s="17" t="s">
        <v>108</v>
      </c>
      <c r="D4" s="18" t="s">
        <v>17</v>
      </c>
      <c r="E4" s="17" t="s">
        <v>108</v>
      </c>
      <c r="F4" s="18" t="s">
        <v>17</v>
      </c>
      <c r="G4" s="17" t="s">
        <v>108</v>
      </c>
      <c r="H4" s="18" t="s">
        <v>17</v>
      </c>
      <c r="I4" s="17" t="s">
        <v>108</v>
      </c>
      <c r="J4" s="18" t="s">
        <v>17</v>
      </c>
    </row>
    <row r="5" spans="1:10">
      <c r="A5" s="19">
        <v>1</v>
      </c>
      <c r="B5" s="20" t="s">
        <v>55</v>
      </c>
      <c r="C5" s="20">
        <v>5727</v>
      </c>
      <c r="D5" s="21">
        <v>94.81</v>
      </c>
      <c r="E5" s="20">
        <v>2617</v>
      </c>
      <c r="F5" s="21">
        <v>19.899999999999999</v>
      </c>
      <c r="G5" s="20">
        <v>10088</v>
      </c>
      <c r="H5" s="21">
        <v>116.24</v>
      </c>
      <c r="I5" s="20">
        <v>4563</v>
      </c>
      <c r="J5" s="21">
        <v>27.68</v>
      </c>
    </row>
    <row r="6" spans="1:10">
      <c r="A6" s="19">
        <v>2</v>
      </c>
      <c r="B6" s="20" t="s">
        <v>56</v>
      </c>
      <c r="C6" s="20">
        <v>0</v>
      </c>
      <c r="D6" s="21">
        <v>0</v>
      </c>
      <c r="E6" s="20">
        <v>0</v>
      </c>
      <c r="F6" s="21">
        <v>0</v>
      </c>
      <c r="G6" s="20">
        <v>0</v>
      </c>
      <c r="H6" s="21">
        <v>0</v>
      </c>
      <c r="I6" s="20">
        <v>0</v>
      </c>
      <c r="J6" s="21">
        <v>0</v>
      </c>
    </row>
    <row r="7" spans="1:10">
      <c r="A7" s="19">
        <v>3</v>
      </c>
      <c r="B7" s="20" t="s">
        <v>57</v>
      </c>
      <c r="C7" s="20">
        <v>2758</v>
      </c>
      <c r="D7" s="21">
        <v>30.78</v>
      </c>
      <c r="E7" s="20">
        <v>0</v>
      </c>
      <c r="F7" s="21">
        <v>0</v>
      </c>
      <c r="G7" s="20">
        <v>0</v>
      </c>
      <c r="H7" s="21">
        <v>0</v>
      </c>
      <c r="I7" s="20">
        <v>0</v>
      </c>
      <c r="J7" s="21">
        <v>0</v>
      </c>
    </row>
    <row r="8" spans="1:10">
      <c r="A8" s="19">
        <v>4</v>
      </c>
      <c r="B8" s="20" t="s">
        <v>58</v>
      </c>
      <c r="C8" s="20">
        <v>2931</v>
      </c>
      <c r="D8" s="21">
        <v>58.68</v>
      </c>
      <c r="E8" s="20">
        <v>2931</v>
      </c>
      <c r="F8" s="21">
        <v>41.07</v>
      </c>
      <c r="G8" s="20">
        <v>2602</v>
      </c>
      <c r="H8" s="21">
        <v>42.44</v>
      </c>
      <c r="I8" s="20">
        <v>2602</v>
      </c>
      <c r="J8" s="21">
        <v>29.7</v>
      </c>
    </row>
    <row r="9" spans="1:10">
      <c r="A9" s="19">
        <v>5</v>
      </c>
      <c r="B9" s="1" t="s">
        <v>59</v>
      </c>
      <c r="C9" s="20">
        <v>68</v>
      </c>
      <c r="D9" s="21">
        <v>1.1299999999999999</v>
      </c>
      <c r="E9" s="20">
        <v>0</v>
      </c>
      <c r="F9" s="21">
        <v>0</v>
      </c>
      <c r="G9" s="20">
        <v>0</v>
      </c>
      <c r="H9" s="21">
        <v>0</v>
      </c>
      <c r="I9" s="20">
        <v>0</v>
      </c>
      <c r="J9" s="21">
        <v>0</v>
      </c>
    </row>
    <row r="10" spans="1:10">
      <c r="A10" s="19">
        <v>6</v>
      </c>
      <c r="B10" s="1" t="s">
        <v>60</v>
      </c>
      <c r="C10" s="20">
        <v>1509</v>
      </c>
      <c r="D10" s="21">
        <v>71.540000000000006</v>
      </c>
      <c r="E10" s="20">
        <v>767</v>
      </c>
      <c r="F10" s="21">
        <v>38.68</v>
      </c>
      <c r="G10" s="20">
        <v>6185</v>
      </c>
      <c r="H10" s="21">
        <v>228.82</v>
      </c>
      <c r="I10" s="20">
        <v>3278</v>
      </c>
      <c r="J10" s="21">
        <v>116.98</v>
      </c>
    </row>
    <row r="11" spans="1:10">
      <c r="A11" s="19">
        <v>7</v>
      </c>
      <c r="B11" s="1" t="s">
        <v>48</v>
      </c>
      <c r="C11" s="20">
        <v>25</v>
      </c>
      <c r="D11" s="21">
        <v>0.13</v>
      </c>
      <c r="E11" s="20">
        <v>0</v>
      </c>
      <c r="F11" s="21">
        <v>0</v>
      </c>
      <c r="G11" s="20">
        <v>0</v>
      </c>
      <c r="H11" s="21">
        <v>0</v>
      </c>
      <c r="I11" s="20">
        <v>0</v>
      </c>
      <c r="J11" s="21">
        <v>0</v>
      </c>
    </row>
    <row r="12" spans="1:10">
      <c r="A12" s="19">
        <v>8</v>
      </c>
      <c r="B12" s="1" t="s">
        <v>61</v>
      </c>
      <c r="C12" s="20">
        <v>5501</v>
      </c>
      <c r="D12" s="21">
        <v>128.26</v>
      </c>
      <c r="E12" s="20">
        <v>2872</v>
      </c>
      <c r="F12" s="21">
        <v>43.65</v>
      </c>
      <c r="G12" s="20">
        <v>2974</v>
      </c>
      <c r="H12" s="21">
        <v>37.9</v>
      </c>
      <c r="I12" s="20">
        <v>618</v>
      </c>
      <c r="J12" s="21">
        <v>10.25</v>
      </c>
    </row>
    <row r="13" spans="1:10">
      <c r="A13" s="19">
        <v>9</v>
      </c>
      <c r="B13" s="1" t="s">
        <v>49</v>
      </c>
      <c r="C13" s="20">
        <v>10</v>
      </c>
      <c r="D13" s="21">
        <v>0.18</v>
      </c>
      <c r="E13" s="20">
        <v>0</v>
      </c>
      <c r="F13" s="21">
        <v>0</v>
      </c>
      <c r="G13" s="20">
        <v>0</v>
      </c>
      <c r="H13" s="21">
        <v>0</v>
      </c>
      <c r="I13" s="20">
        <v>0</v>
      </c>
      <c r="J13" s="21">
        <v>0</v>
      </c>
    </row>
    <row r="14" spans="1:10">
      <c r="A14" s="19">
        <v>10</v>
      </c>
      <c r="B14" s="1" t="s">
        <v>81</v>
      </c>
      <c r="C14" s="20">
        <v>0</v>
      </c>
      <c r="D14" s="21">
        <v>0</v>
      </c>
      <c r="E14" s="20">
        <v>0</v>
      </c>
      <c r="F14" s="21">
        <v>0</v>
      </c>
      <c r="G14" s="20">
        <v>7</v>
      </c>
      <c r="H14" s="21">
        <v>0.11</v>
      </c>
      <c r="I14" s="20">
        <v>0</v>
      </c>
      <c r="J14" s="21">
        <v>0</v>
      </c>
    </row>
    <row r="15" spans="1:10">
      <c r="A15" s="19">
        <v>11</v>
      </c>
      <c r="B15" s="1" t="s">
        <v>62</v>
      </c>
      <c r="C15" s="20">
        <v>0</v>
      </c>
      <c r="D15" s="21">
        <v>0</v>
      </c>
      <c r="E15" s="20">
        <v>0</v>
      </c>
      <c r="F15" s="21">
        <v>0</v>
      </c>
      <c r="G15" s="20">
        <v>0</v>
      </c>
      <c r="H15" s="21">
        <v>0</v>
      </c>
      <c r="I15" s="20">
        <v>0</v>
      </c>
      <c r="J15" s="21">
        <v>0</v>
      </c>
    </row>
    <row r="16" spans="1:10">
      <c r="A16" s="19">
        <v>12</v>
      </c>
      <c r="B16" s="1" t="s">
        <v>63</v>
      </c>
      <c r="C16" s="20">
        <v>0</v>
      </c>
      <c r="D16" s="21">
        <v>0</v>
      </c>
      <c r="E16" s="20">
        <v>0</v>
      </c>
      <c r="F16" s="21">
        <v>0</v>
      </c>
      <c r="G16" s="20">
        <v>0</v>
      </c>
      <c r="H16" s="21">
        <v>0</v>
      </c>
      <c r="I16" s="20">
        <v>0</v>
      </c>
      <c r="J16" s="21">
        <v>0</v>
      </c>
    </row>
    <row r="17" spans="1:10">
      <c r="A17" s="19">
        <v>13</v>
      </c>
      <c r="B17" s="1" t="s">
        <v>82</v>
      </c>
      <c r="C17" s="20">
        <v>11</v>
      </c>
      <c r="D17" s="21">
        <v>0.18</v>
      </c>
      <c r="E17" s="20">
        <v>0</v>
      </c>
      <c r="F17" s="21">
        <v>0</v>
      </c>
      <c r="G17" s="20">
        <v>0</v>
      </c>
      <c r="H17" s="21">
        <v>0</v>
      </c>
      <c r="I17" s="20">
        <v>0</v>
      </c>
      <c r="J17" s="21">
        <v>0</v>
      </c>
    </row>
    <row r="18" spans="1:10">
      <c r="A18" s="19">
        <v>14</v>
      </c>
      <c r="B18" s="1" t="s">
        <v>83</v>
      </c>
      <c r="C18" s="20">
        <v>0</v>
      </c>
      <c r="D18" s="21">
        <v>0</v>
      </c>
      <c r="E18" s="20">
        <v>0</v>
      </c>
      <c r="F18" s="21">
        <v>0</v>
      </c>
      <c r="G18" s="20">
        <v>83</v>
      </c>
      <c r="H18" s="21">
        <v>6.91</v>
      </c>
      <c r="I18" s="20">
        <v>3</v>
      </c>
      <c r="J18" s="21">
        <v>0.55000000000000004</v>
      </c>
    </row>
    <row r="19" spans="1:10">
      <c r="A19" s="19">
        <v>15</v>
      </c>
      <c r="B19" s="1" t="s">
        <v>64</v>
      </c>
      <c r="C19" s="20">
        <v>24061</v>
      </c>
      <c r="D19" s="21">
        <v>362.75</v>
      </c>
      <c r="E19" s="20">
        <v>7218</v>
      </c>
      <c r="F19" s="21">
        <v>108.82</v>
      </c>
      <c r="G19" s="20">
        <v>2712</v>
      </c>
      <c r="H19" s="21">
        <v>40.61</v>
      </c>
      <c r="I19" s="20">
        <v>542</v>
      </c>
      <c r="J19" s="21">
        <v>80.12</v>
      </c>
    </row>
    <row r="20" spans="1:10">
      <c r="A20" s="19">
        <v>16</v>
      </c>
      <c r="B20" s="1" t="s">
        <v>65</v>
      </c>
      <c r="C20" s="20">
        <v>0</v>
      </c>
      <c r="D20" s="21">
        <v>0</v>
      </c>
      <c r="E20" s="20">
        <v>0</v>
      </c>
      <c r="F20" s="21">
        <v>0</v>
      </c>
      <c r="G20" s="20">
        <v>0</v>
      </c>
      <c r="H20" s="21">
        <v>0</v>
      </c>
      <c r="I20" s="20">
        <v>0</v>
      </c>
      <c r="J20" s="21">
        <v>0</v>
      </c>
    </row>
    <row r="21" spans="1:10">
      <c r="A21" s="19">
        <v>17</v>
      </c>
      <c r="B21" s="1" t="s">
        <v>80</v>
      </c>
      <c r="C21" s="20">
        <v>299</v>
      </c>
      <c r="D21" s="21">
        <v>6.69</v>
      </c>
      <c r="E21" s="20">
        <v>120</v>
      </c>
      <c r="F21" s="21">
        <v>2.21</v>
      </c>
      <c r="G21" s="20">
        <v>619</v>
      </c>
      <c r="H21" s="21">
        <v>6.75</v>
      </c>
      <c r="I21" s="20">
        <v>264</v>
      </c>
      <c r="J21" s="21">
        <v>2.4500000000000002</v>
      </c>
    </row>
    <row r="22" spans="1:10">
      <c r="A22" s="19">
        <v>18</v>
      </c>
      <c r="B22" s="1" t="s">
        <v>66</v>
      </c>
      <c r="C22" s="20">
        <v>153</v>
      </c>
      <c r="D22" s="21">
        <v>3.52</v>
      </c>
      <c r="E22" s="20">
        <v>0</v>
      </c>
      <c r="F22" s="21">
        <v>0</v>
      </c>
      <c r="G22" s="20">
        <v>0</v>
      </c>
      <c r="H22" s="21">
        <v>0</v>
      </c>
      <c r="I22" s="20">
        <v>0</v>
      </c>
      <c r="J22" s="21">
        <v>0</v>
      </c>
    </row>
    <row r="23" spans="1:10">
      <c r="A23" s="19">
        <v>19</v>
      </c>
      <c r="B23" s="1" t="s">
        <v>67</v>
      </c>
      <c r="C23" s="20">
        <v>0</v>
      </c>
      <c r="D23" s="21">
        <v>0</v>
      </c>
      <c r="E23" s="20">
        <v>0</v>
      </c>
      <c r="F23" s="21">
        <v>0</v>
      </c>
      <c r="G23" s="20">
        <v>0</v>
      </c>
      <c r="H23" s="21">
        <v>0</v>
      </c>
      <c r="I23" s="20">
        <v>0</v>
      </c>
      <c r="J23" s="21">
        <v>0</v>
      </c>
    </row>
    <row r="24" spans="1:10">
      <c r="A24" s="19">
        <v>20</v>
      </c>
      <c r="B24" s="20" t="s">
        <v>50</v>
      </c>
      <c r="C24" s="20">
        <v>0</v>
      </c>
      <c r="D24" s="21">
        <v>0</v>
      </c>
      <c r="E24" s="20">
        <v>0</v>
      </c>
      <c r="F24" s="21">
        <v>0</v>
      </c>
      <c r="G24" s="20">
        <v>0</v>
      </c>
      <c r="H24" s="21">
        <v>0</v>
      </c>
      <c r="I24" s="20">
        <v>0</v>
      </c>
      <c r="J24" s="21">
        <v>0</v>
      </c>
    </row>
    <row r="25" spans="1:10">
      <c r="A25" s="19">
        <v>21</v>
      </c>
      <c r="B25" s="20" t="s">
        <v>109</v>
      </c>
      <c r="C25" s="20">
        <v>0</v>
      </c>
      <c r="D25" s="21">
        <v>0</v>
      </c>
      <c r="E25" s="20">
        <v>0</v>
      </c>
      <c r="F25" s="21">
        <v>0</v>
      </c>
      <c r="G25" s="20">
        <v>0</v>
      </c>
      <c r="H25" s="21">
        <v>0</v>
      </c>
      <c r="I25" s="20">
        <v>0</v>
      </c>
      <c r="J25" s="21">
        <v>0</v>
      </c>
    </row>
    <row r="26" spans="1:10">
      <c r="A26" s="19">
        <v>22</v>
      </c>
      <c r="B26" s="20" t="s">
        <v>68</v>
      </c>
      <c r="C26" s="20">
        <v>0</v>
      </c>
      <c r="D26" s="21">
        <v>0</v>
      </c>
      <c r="E26" s="20">
        <v>0</v>
      </c>
      <c r="F26" s="21">
        <v>0</v>
      </c>
      <c r="G26" s="20">
        <v>0</v>
      </c>
      <c r="H26" s="21">
        <v>0</v>
      </c>
      <c r="I26" s="20">
        <v>0</v>
      </c>
      <c r="J26" s="21">
        <v>0</v>
      </c>
    </row>
    <row r="27" spans="1:10">
      <c r="A27" s="19">
        <v>23</v>
      </c>
      <c r="B27" s="20" t="s">
        <v>69</v>
      </c>
      <c r="C27" s="20">
        <v>0</v>
      </c>
      <c r="D27" s="21">
        <v>0</v>
      </c>
      <c r="E27" s="20">
        <v>0</v>
      </c>
      <c r="F27" s="21">
        <v>0</v>
      </c>
      <c r="G27" s="20">
        <v>0</v>
      </c>
      <c r="H27" s="21">
        <v>0</v>
      </c>
      <c r="I27" s="20">
        <v>0</v>
      </c>
      <c r="J27" s="21">
        <v>0</v>
      </c>
    </row>
    <row r="28" spans="1:10">
      <c r="A28" s="19">
        <v>24</v>
      </c>
      <c r="B28" s="20" t="s">
        <v>84</v>
      </c>
      <c r="C28" s="20">
        <v>0</v>
      </c>
      <c r="D28" s="21">
        <v>0</v>
      </c>
      <c r="E28" s="20">
        <v>0</v>
      </c>
      <c r="F28" s="21">
        <v>0</v>
      </c>
      <c r="G28" s="20">
        <v>0</v>
      </c>
      <c r="H28" s="21">
        <v>0</v>
      </c>
      <c r="I28" s="20">
        <v>0</v>
      </c>
      <c r="J28" s="21">
        <v>0</v>
      </c>
    </row>
    <row r="29" spans="1:10">
      <c r="A29" s="19">
        <v>25</v>
      </c>
      <c r="B29" s="20" t="s">
        <v>85</v>
      </c>
      <c r="C29" s="20">
        <v>0</v>
      </c>
      <c r="D29" s="21">
        <v>0</v>
      </c>
      <c r="E29" s="20">
        <v>0</v>
      </c>
      <c r="F29" s="21">
        <v>0</v>
      </c>
      <c r="G29" s="20">
        <v>0</v>
      </c>
      <c r="H29" s="21">
        <v>0</v>
      </c>
      <c r="I29" s="20">
        <v>0</v>
      </c>
      <c r="J29" s="21">
        <v>0</v>
      </c>
    </row>
    <row r="30" spans="1:10">
      <c r="A30" s="19">
        <v>26</v>
      </c>
      <c r="B30" s="20" t="s">
        <v>86</v>
      </c>
      <c r="C30" s="20">
        <v>0</v>
      </c>
      <c r="D30" s="21">
        <v>0</v>
      </c>
      <c r="E30" s="20">
        <v>0</v>
      </c>
      <c r="F30" s="21">
        <v>0</v>
      </c>
      <c r="G30" s="20">
        <v>0</v>
      </c>
      <c r="H30" s="21">
        <v>0</v>
      </c>
      <c r="I30" s="20">
        <v>0</v>
      </c>
      <c r="J30" s="21">
        <v>0</v>
      </c>
    </row>
    <row r="31" spans="1:10">
      <c r="A31" s="19">
        <v>27</v>
      </c>
      <c r="B31" s="20" t="s">
        <v>87</v>
      </c>
      <c r="C31" s="20">
        <v>0</v>
      </c>
      <c r="D31" s="21">
        <v>0</v>
      </c>
      <c r="E31" s="20">
        <v>0</v>
      </c>
      <c r="F31" s="21">
        <v>0</v>
      </c>
      <c r="G31" s="20">
        <v>0</v>
      </c>
      <c r="H31" s="21">
        <v>0</v>
      </c>
      <c r="I31" s="20">
        <v>0</v>
      </c>
      <c r="J31" s="21">
        <v>0</v>
      </c>
    </row>
    <row r="32" spans="1:10">
      <c r="A32" s="19">
        <v>28</v>
      </c>
      <c r="B32" s="20" t="s">
        <v>70</v>
      </c>
      <c r="C32" s="20">
        <v>0</v>
      </c>
      <c r="D32" s="21">
        <v>0</v>
      </c>
      <c r="E32" s="20">
        <v>0</v>
      </c>
      <c r="F32" s="21">
        <v>0</v>
      </c>
      <c r="G32" s="20">
        <v>411</v>
      </c>
      <c r="H32" s="21">
        <v>4.88</v>
      </c>
      <c r="I32" s="20">
        <v>0</v>
      </c>
      <c r="J32" s="21">
        <v>0</v>
      </c>
    </row>
    <row r="33" spans="1:10">
      <c r="A33" s="19">
        <v>29</v>
      </c>
      <c r="B33" s="20" t="s">
        <v>47</v>
      </c>
      <c r="C33" s="20">
        <v>0</v>
      </c>
      <c r="D33" s="21">
        <v>0</v>
      </c>
      <c r="E33" s="20">
        <v>0</v>
      </c>
      <c r="F33" s="21">
        <v>0</v>
      </c>
      <c r="G33" s="20">
        <v>0</v>
      </c>
      <c r="H33" s="21">
        <v>0</v>
      </c>
      <c r="I33" s="20">
        <v>0</v>
      </c>
      <c r="J33" s="21">
        <v>0</v>
      </c>
    </row>
    <row r="34" spans="1:10">
      <c r="A34" s="19">
        <v>30</v>
      </c>
      <c r="B34" s="20" t="s">
        <v>71</v>
      </c>
      <c r="C34" s="20">
        <v>9763</v>
      </c>
      <c r="D34" s="21">
        <v>30.76</v>
      </c>
      <c r="E34" s="20">
        <v>3425</v>
      </c>
      <c r="F34" s="21">
        <v>111.15</v>
      </c>
      <c r="G34" s="20">
        <v>1030</v>
      </c>
      <c r="H34" s="21">
        <v>3.49</v>
      </c>
      <c r="I34" s="20">
        <v>696</v>
      </c>
      <c r="J34" s="21">
        <v>34.729999999999997</v>
      </c>
    </row>
    <row r="35" spans="1:10">
      <c r="A35" s="19">
        <v>31</v>
      </c>
      <c r="B35" s="20" t="s">
        <v>72</v>
      </c>
      <c r="C35" s="20">
        <v>0</v>
      </c>
      <c r="D35" s="21">
        <v>0</v>
      </c>
      <c r="E35" s="20">
        <v>0</v>
      </c>
      <c r="F35" s="21">
        <v>0</v>
      </c>
      <c r="G35" s="20">
        <v>0</v>
      </c>
      <c r="H35" s="21">
        <v>0</v>
      </c>
      <c r="I35" s="20">
        <v>0</v>
      </c>
      <c r="J35" s="21">
        <v>0</v>
      </c>
    </row>
    <row r="36" spans="1:10">
      <c r="A36" s="19">
        <v>32</v>
      </c>
      <c r="B36" s="20" t="s">
        <v>88</v>
      </c>
      <c r="C36" s="20">
        <v>0</v>
      </c>
      <c r="D36" s="21">
        <v>0</v>
      </c>
      <c r="E36" s="20">
        <v>0</v>
      </c>
      <c r="F36" s="21">
        <v>0</v>
      </c>
      <c r="G36" s="20">
        <v>0</v>
      </c>
      <c r="H36" s="21">
        <v>0</v>
      </c>
      <c r="I36" s="20">
        <v>0</v>
      </c>
      <c r="J36" s="21">
        <v>0</v>
      </c>
    </row>
    <row r="37" spans="1:10">
      <c r="A37" s="19">
        <v>33</v>
      </c>
      <c r="B37" s="20" t="s">
        <v>51</v>
      </c>
      <c r="C37" s="20">
        <v>0</v>
      </c>
      <c r="D37" s="21">
        <v>0</v>
      </c>
      <c r="E37" s="20">
        <v>0</v>
      </c>
      <c r="F37" s="21">
        <v>0</v>
      </c>
      <c r="G37" s="20">
        <v>0</v>
      </c>
      <c r="H37" s="21">
        <v>0</v>
      </c>
      <c r="I37" s="20">
        <v>0</v>
      </c>
      <c r="J37" s="21">
        <v>0</v>
      </c>
    </row>
    <row r="38" spans="1:10">
      <c r="A38" s="19">
        <v>34</v>
      </c>
      <c r="B38" s="20" t="s">
        <v>89</v>
      </c>
      <c r="C38" s="20">
        <v>0</v>
      </c>
      <c r="D38" s="21">
        <v>0</v>
      </c>
      <c r="E38" s="20">
        <v>0</v>
      </c>
      <c r="F38" s="21">
        <v>0</v>
      </c>
      <c r="G38" s="20">
        <v>0</v>
      </c>
      <c r="H38" s="21">
        <v>0</v>
      </c>
      <c r="I38" s="20">
        <v>0</v>
      </c>
      <c r="J38" s="21">
        <v>0</v>
      </c>
    </row>
    <row r="39" spans="1:10">
      <c r="A39" s="19">
        <v>35</v>
      </c>
      <c r="B39" s="20" t="s">
        <v>90</v>
      </c>
      <c r="C39" s="20">
        <v>0</v>
      </c>
      <c r="D39" s="21">
        <v>0</v>
      </c>
      <c r="E39" s="20">
        <v>0</v>
      </c>
      <c r="F39" s="21">
        <v>0</v>
      </c>
      <c r="G39" s="20">
        <v>0</v>
      </c>
      <c r="H39" s="21">
        <v>0</v>
      </c>
      <c r="I39" s="20">
        <v>0</v>
      </c>
      <c r="J39" s="21">
        <v>0</v>
      </c>
    </row>
    <row r="40" spans="1:10">
      <c r="A40" s="19">
        <v>36</v>
      </c>
      <c r="B40" s="20" t="s">
        <v>73</v>
      </c>
      <c r="C40" s="20">
        <v>0</v>
      </c>
      <c r="D40" s="21">
        <v>0</v>
      </c>
      <c r="E40" s="20">
        <v>0</v>
      </c>
      <c r="F40" s="21">
        <v>0</v>
      </c>
      <c r="G40" s="20">
        <v>0</v>
      </c>
      <c r="H40" s="21">
        <v>0</v>
      </c>
      <c r="I40" s="20">
        <v>0</v>
      </c>
      <c r="J40" s="21">
        <v>0</v>
      </c>
    </row>
    <row r="41" spans="1:10">
      <c r="A41" s="19">
        <v>37</v>
      </c>
      <c r="B41" s="20" t="s">
        <v>91</v>
      </c>
      <c r="C41" s="20">
        <v>0</v>
      </c>
      <c r="D41" s="21">
        <v>0</v>
      </c>
      <c r="E41" s="20">
        <v>0</v>
      </c>
      <c r="F41" s="21">
        <v>0</v>
      </c>
      <c r="G41" s="20">
        <v>0</v>
      </c>
      <c r="H41" s="21">
        <v>0</v>
      </c>
      <c r="I41" s="20">
        <v>0</v>
      </c>
      <c r="J41" s="21">
        <v>0</v>
      </c>
    </row>
    <row r="42" spans="1:10">
      <c r="A42" s="19">
        <v>38</v>
      </c>
      <c r="B42" s="20" t="s">
        <v>74</v>
      </c>
      <c r="C42" s="20">
        <v>0</v>
      </c>
      <c r="D42" s="21">
        <v>0</v>
      </c>
      <c r="E42" s="20">
        <v>0</v>
      </c>
      <c r="F42" s="21">
        <v>0</v>
      </c>
      <c r="G42" s="20">
        <v>0</v>
      </c>
      <c r="H42" s="21">
        <v>0</v>
      </c>
      <c r="I42" s="20">
        <v>0</v>
      </c>
      <c r="J42" s="21">
        <v>0</v>
      </c>
    </row>
    <row r="43" spans="1:10">
      <c r="A43" s="19">
        <v>39</v>
      </c>
      <c r="B43" s="20" t="s">
        <v>92</v>
      </c>
      <c r="C43" s="20">
        <v>0</v>
      </c>
      <c r="D43" s="21">
        <v>0</v>
      </c>
      <c r="E43" s="20">
        <v>0</v>
      </c>
      <c r="F43" s="21">
        <v>0</v>
      </c>
      <c r="G43" s="20">
        <v>0</v>
      </c>
      <c r="H43" s="21">
        <v>0</v>
      </c>
      <c r="I43" s="20">
        <v>0</v>
      </c>
      <c r="J43" s="21">
        <v>0</v>
      </c>
    </row>
    <row r="44" spans="1:10">
      <c r="A44" s="19">
        <v>40</v>
      </c>
      <c r="B44" s="20" t="s">
        <v>93</v>
      </c>
      <c r="C44" s="20">
        <v>0</v>
      </c>
      <c r="D44" s="21">
        <v>0</v>
      </c>
      <c r="E44" s="20">
        <v>0</v>
      </c>
      <c r="F44" s="21">
        <v>0</v>
      </c>
      <c r="G44" s="20">
        <v>0</v>
      </c>
      <c r="H44" s="21">
        <v>0</v>
      </c>
      <c r="I44" s="20">
        <v>0</v>
      </c>
      <c r="J44" s="21">
        <v>0</v>
      </c>
    </row>
    <row r="45" spans="1:10">
      <c r="A45" s="19">
        <v>41</v>
      </c>
      <c r="B45" s="20" t="s">
        <v>75</v>
      </c>
      <c r="C45" s="20">
        <v>0</v>
      </c>
      <c r="D45" s="21">
        <v>0</v>
      </c>
      <c r="E45" s="20">
        <v>0</v>
      </c>
      <c r="F45" s="21">
        <v>0</v>
      </c>
      <c r="G45" s="20">
        <v>0</v>
      </c>
      <c r="H45" s="21">
        <v>0</v>
      </c>
      <c r="I45" s="20">
        <v>0</v>
      </c>
      <c r="J45" s="21">
        <v>0</v>
      </c>
    </row>
    <row r="46" spans="1:10">
      <c r="A46" s="19">
        <v>42</v>
      </c>
      <c r="B46" s="20" t="s">
        <v>76</v>
      </c>
      <c r="C46" s="20">
        <v>0</v>
      </c>
      <c r="D46" s="21">
        <v>0</v>
      </c>
      <c r="E46" s="20">
        <v>0</v>
      </c>
      <c r="F46" s="21">
        <v>0</v>
      </c>
      <c r="G46" s="20">
        <v>0</v>
      </c>
      <c r="H46" s="21">
        <v>0</v>
      </c>
      <c r="I46" s="20">
        <v>0</v>
      </c>
      <c r="J46" s="21">
        <v>0</v>
      </c>
    </row>
    <row r="47" spans="1:10">
      <c r="A47" s="19">
        <v>43</v>
      </c>
      <c r="B47" s="20" t="s">
        <v>94</v>
      </c>
      <c r="C47" s="20">
        <v>0</v>
      </c>
      <c r="D47" s="21">
        <v>0</v>
      </c>
      <c r="E47" s="20">
        <v>0</v>
      </c>
      <c r="F47" s="21">
        <v>0</v>
      </c>
      <c r="G47" s="20">
        <v>0</v>
      </c>
      <c r="H47" s="21">
        <v>0</v>
      </c>
      <c r="I47" s="20">
        <v>0</v>
      </c>
      <c r="J47" s="21">
        <v>0</v>
      </c>
    </row>
    <row r="48" spans="1:10">
      <c r="A48" s="19">
        <v>44</v>
      </c>
      <c r="B48" s="20" t="s">
        <v>77</v>
      </c>
      <c r="C48" s="20">
        <v>0</v>
      </c>
      <c r="D48" s="21">
        <v>0</v>
      </c>
      <c r="E48" s="20">
        <v>0</v>
      </c>
      <c r="F48" s="21">
        <v>0</v>
      </c>
      <c r="G48" s="20">
        <v>0</v>
      </c>
      <c r="H48" s="21">
        <v>0</v>
      </c>
      <c r="I48" s="20">
        <v>0</v>
      </c>
      <c r="J48" s="21">
        <v>0</v>
      </c>
    </row>
    <row r="49" spans="1:10">
      <c r="A49" s="19">
        <v>45</v>
      </c>
      <c r="B49" s="20" t="s">
        <v>78</v>
      </c>
      <c r="C49" s="20">
        <v>0</v>
      </c>
      <c r="D49" s="21">
        <v>0</v>
      </c>
      <c r="E49" s="20">
        <v>0</v>
      </c>
      <c r="F49" s="21">
        <v>0</v>
      </c>
      <c r="G49" s="20">
        <v>0</v>
      </c>
      <c r="H49" s="21">
        <v>0</v>
      </c>
      <c r="I49" s="20">
        <v>0</v>
      </c>
      <c r="J49" s="21">
        <v>0</v>
      </c>
    </row>
    <row r="50" spans="1:10">
      <c r="A50" s="19">
        <v>46</v>
      </c>
      <c r="B50" s="20" t="s">
        <v>95</v>
      </c>
      <c r="C50" s="20">
        <v>0</v>
      </c>
      <c r="D50" s="21">
        <v>0</v>
      </c>
      <c r="E50" s="20">
        <v>0</v>
      </c>
      <c r="F50" s="21">
        <v>0</v>
      </c>
      <c r="G50" s="20">
        <v>0</v>
      </c>
      <c r="H50" s="21">
        <v>0</v>
      </c>
      <c r="I50" s="20">
        <v>0</v>
      </c>
      <c r="J50" s="21">
        <v>0</v>
      </c>
    </row>
    <row r="51" spans="1:10">
      <c r="A51" s="19">
        <v>47</v>
      </c>
      <c r="B51" s="20" t="s">
        <v>96</v>
      </c>
      <c r="C51" s="20">
        <v>0</v>
      </c>
      <c r="D51" s="21">
        <v>0</v>
      </c>
      <c r="E51" s="20">
        <v>0</v>
      </c>
      <c r="F51" s="21">
        <v>0</v>
      </c>
      <c r="G51" s="20">
        <v>0</v>
      </c>
      <c r="H51" s="21">
        <v>0</v>
      </c>
      <c r="I51" s="20">
        <v>0</v>
      </c>
      <c r="J51" s="21">
        <v>0</v>
      </c>
    </row>
    <row r="52" spans="1:10">
      <c r="A52" s="19">
        <v>48</v>
      </c>
      <c r="B52" s="1" t="s">
        <v>52</v>
      </c>
      <c r="C52" s="20">
        <v>0</v>
      </c>
      <c r="D52" s="21">
        <v>0</v>
      </c>
      <c r="E52" s="20">
        <v>0</v>
      </c>
      <c r="F52" s="21">
        <v>0</v>
      </c>
      <c r="G52" s="20">
        <v>0</v>
      </c>
      <c r="H52" s="21">
        <v>0</v>
      </c>
      <c r="I52" s="20">
        <v>0</v>
      </c>
      <c r="J52" s="21">
        <v>0</v>
      </c>
    </row>
    <row r="53" spans="1:10">
      <c r="A53" s="19">
        <v>49</v>
      </c>
      <c r="B53" s="20" t="s">
        <v>46</v>
      </c>
      <c r="C53" s="20">
        <v>974</v>
      </c>
      <c r="D53" s="21">
        <v>8.01</v>
      </c>
      <c r="E53" s="20">
        <v>974</v>
      </c>
      <c r="F53" s="21">
        <v>8.01</v>
      </c>
      <c r="G53" s="20">
        <v>6</v>
      </c>
      <c r="H53" s="21">
        <v>0.2</v>
      </c>
      <c r="I53" s="20">
        <v>6</v>
      </c>
      <c r="J53" s="21">
        <v>0.2</v>
      </c>
    </row>
    <row r="54" spans="1:10">
      <c r="A54" s="19">
        <v>50</v>
      </c>
      <c r="B54" s="20" t="s">
        <v>79</v>
      </c>
      <c r="C54" s="20">
        <v>11242</v>
      </c>
      <c r="D54" s="21">
        <v>31.11</v>
      </c>
      <c r="E54" s="20">
        <v>0</v>
      </c>
      <c r="F54" s="21">
        <v>0</v>
      </c>
      <c r="G54" s="20">
        <v>0</v>
      </c>
      <c r="H54" s="21">
        <v>0</v>
      </c>
      <c r="I54" s="20">
        <v>0</v>
      </c>
      <c r="J54" s="21">
        <v>0</v>
      </c>
    </row>
    <row r="55" spans="1:10">
      <c r="A55" s="19"/>
      <c r="B55" s="10" t="s">
        <v>110</v>
      </c>
      <c r="C55" s="10">
        <f t="shared" ref="C55:J55" si="0">SUM(C5:C54)</f>
        <v>65032</v>
      </c>
      <c r="D55" s="9">
        <f t="shared" si="0"/>
        <v>828.53000000000009</v>
      </c>
      <c r="E55" s="10">
        <f t="shared" si="0"/>
        <v>20924</v>
      </c>
      <c r="F55" s="9">
        <f t="shared" si="0"/>
        <v>373.49</v>
      </c>
      <c r="G55" s="10">
        <f t="shared" si="0"/>
        <v>26717</v>
      </c>
      <c r="H55" s="9">
        <f t="shared" si="0"/>
        <v>488.35</v>
      </c>
      <c r="I55" s="10">
        <f t="shared" si="0"/>
        <v>12572</v>
      </c>
      <c r="J55" s="9">
        <f t="shared" si="0"/>
        <v>302.66000000000003</v>
      </c>
    </row>
    <row r="57" spans="1:10">
      <c r="B57" s="24"/>
    </row>
  </sheetData>
  <mergeCells count="7">
    <mergeCell ref="A1:J1"/>
    <mergeCell ref="C2:F2"/>
    <mergeCell ref="G2:I2"/>
    <mergeCell ref="C3:D3"/>
    <mergeCell ref="E3:F3"/>
    <mergeCell ref="G3:H3"/>
    <mergeCell ref="I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6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22" sqref="H22"/>
    </sheetView>
  </sheetViews>
  <sheetFormatPr defaultRowHeight="12.75"/>
  <cols>
    <col min="1" max="1" width="5.5703125" style="198" customWidth="1"/>
    <col min="2" max="2" width="24.140625" style="198" customWidth="1"/>
    <col min="3" max="3" width="9" style="200" bestFit="1" customWidth="1"/>
    <col min="4" max="4" width="9.140625" style="200" bestFit="1" customWidth="1"/>
    <col min="5" max="6" width="10.140625" style="200" bestFit="1" customWidth="1"/>
    <col min="7" max="7" width="8.140625" style="200" customWidth="1"/>
    <col min="8" max="8" width="7.28515625" style="200" bestFit="1" customWidth="1"/>
    <col min="9" max="9" width="8.7109375" style="200" customWidth="1"/>
    <col min="10" max="10" width="10.140625" style="200" bestFit="1" customWidth="1"/>
    <col min="11" max="11" width="9.28515625" style="200" bestFit="1" customWidth="1"/>
    <col min="12" max="12" width="9.42578125" style="200" bestFit="1" customWidth="1"/>
    <col min="13" max="13" width="9.28515625" style="200" bestFit="1" customWidth="1"/>
    <col min="14" max="14" width="10.140625" style="200" bestFit="1" customWidth="1"/>
    <col min="15" max="15" width="9.28515625" style="200" bestFit="1" customWidth="1"/>
    <col min="16" max="16" width="11.42578125" style="200" bestFit="1" customWidth="1"/>
    <col min="17" max="16384" width="9.140625" style="198"/>
  </cols>
  <sheetData>
    <row r="1" spans="1:16" ht="15.75" customHeight="1">
      <c r="A1" s="662" t="s">
        <v>770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</row>
    <row r="2" spans="1:16" ht="14.25">
      <c r="A2" s="48" t="s">
        <v>117</v>
      </c>
      <c r="B2" s="48"/>
      <c r="C2" s="188"/>
      <c r="D2" s="188"/>
      <c r="E2" s="188"/>
      <c r="F2" s="188"/>
    </row>
    <row r="3" spans="1:16" ht="15" customHeight="1">
      <c r="A3" s="33"/>
      <c r="B3" s="687" t="s">
        <v>12</v>
      </c>
      <c r="C3" s="687"/>
      <c r="D3" s="687"/>
      <c r="M3" s="688" t="s">
        <v>181</v>
      </c>
      <c r="N3" s="688"/>
    </row>
    <row r="4" spans="1:16" ht="13.5">
      <c r="A4" s="664" t="s">
        <v>230</v>
      </c>
      <c r="B4" s="664" t="s">
        <v>3</v>
      </c>
      <c r="C4" s="648" t="s">
        <v>27</v>
      </c>
      <c r="D4" s="648"/>
      <c r="E4" s="648" t="s">
        <v>179</v>
      </c>
      <c r="F4" s="648"/>
      <c r="G4" s="648" t="s">
        <v>28</v>
      </c>
      <c r="H4" s="648"/>
      <c r="I4" s="648" t="s">
        <v>26</v>
      </c>
      <c r="J4" s="648"/>
      <c r="K4" s="648" t="s">
        <v>180</v>
      </c>
      <c r="L4" s="648"/>
      <c r="M4" s="648" t="s">
        <v>29</v>
      </c>
      <c r="N4" s="648"/>
      <c r="O4" s="648" t="s">
        <v>0</v>
      </c>
      <c r="P4" s="648"/>
    </row>
    <row r="5" spans="1:16" ht="13.5">
      <c r="A5" s="664"/>
      <c r="B5" s="664"/>
      <c r="C5" s="186" t="s">
        <v>30</v>
      </c>
      <c r="D5" s="186" t="s">
        <v>17</v>
      </c>
      <c r="E5" s="186" t="s">
        <v>30</v>
      </c>
      <c r="F5" s="186" t="s">
        <v>17</v>
      </c>
      <c r="G5" s="186" t="s">
        <v>30</v>
      </c>
      <c r="H5" s="186" t="s">
        <v>17</v>
      </c>
      <c r="I5" s="186" t="s">
        <v>30</v>
      </c>
      <c r="J5" s="186" t="s">
        <v>17</v>
      </c>
      <c r="K5" s="186" t="s">
        <v>30</v>
      </c>
      <c r="L5" s="186" t="s">
        <v>17</v>
      </c>
      <c r="M5" s="186" t="s">
        <v>30</v>
      </c>
      <c r="N5" s="186" t="s">
        <v>17</v>
      </c>
      <c r="O5" s="186" t="s">
        <v>30</v>
      </c>
      <c r="P5" s="186" t="s">
        <v>17</v>
      </c>
    </row>
    <row r="6" spans="1:16" ht="15" customHeight="1">
      <c r="A6" s="57">
        <v>1</v>
      </c>
      <c r="B6" s="58" t="s">
        <v>55</v>
      </c>
      <c r="C6" s="177">
        <v>6065</v>
      </c>
      <c r="D6" s="177">
        <v>10798</v>
      </c>
      <c r="E6" s="177">
        <v>10214</v>
      </c>
      <c r="F6" s="177">
        <v>20654</v>
      </c>
      <c r="G6" s="167">
        <v>62</v>
      </c>
      <c r="H6" s="167">
        <v>102</v>
      </c>
      <c r="I6" s="167">
        <v>869</v>
      </c>
      <c r="J6" s="167">
        <v>7245</v>
      </c>
      <c r="K6" s="167">
        <v>0</v>
      </c>
      <c r="L6" s="167">
        <v>0</v>
      </c>
      <c r="M6" s="167">
        <v>1994</v>
      </c>
      <c r="N6" s="167">
        <v>15968</v>
      </c>
      <c r="O6" s="167">
        <f>C6+E6+G6+I6+K6+M6</f>
        <v>19204</v>
      </c>
      <c r="P6" s="167">
        <f>D6+F6+H6+J6+L6+N6</f>
        <v>54767</v>
      </c>
    </row>
    <row r="7" spans="1:16" ht="15" customHeight="1">
      <c r="A7" s="57">
        <v>2</v>
      </c>
      <c r="B7" s="58" t="s">
        <v>56</v>
      </c>
      <c r="C7" s="167">
        <v>44</v>
      </c>
      <c r="D7" s="167">
        <v>184.52</v>
      </c>
      <c r="E7" s="167">
        <v>490</v>
      </c>
      <c r="F7" s="167">
        <v>984.53</v>
      </c>
      <c r="G7" s="167">
        <v>0</v>
      </c>
      <c r="H7" s="167">
        <v>0</v>
      </c>
      <c r="I7" s="167">
        <v>159</v>
      </c>
      <c r="J7" s="167">
        <v>828.17</v>
      </c>
      <c r="K7" s="167">
        <v>0</v>
      </c>
      <c r="L7" s="167">
        <v>0</v>
      </c>
      <c r="M7" s="167">
        <v>105</v>
      </c>
      <c r="N7" s="167">
        <v>1709.51</v>
      </c>
      <c r="O7" s="167">
        <f t="shared" ref="O7:O61" si="0">C7+E7+G7+I7+K7+M7</f>
        <v>798</v>
      </c>
      <c r="P7" s="167">
        <f t="shared" ref="P7:P61" si="1">D7+F7+H7+J7+L7+N7</f>
        <v>3706.7299999999996</v>
      </c>
    </row>
    <row r="8" spans="1:16" ht="15" customHeight="1">
      <c r="A8" s="57">
        <v>3</v>
      </c>
      <c r="B8" s="58" t="s">
        <v>57</v>
      </c>
      <c r="C8" s="167">
        <v>390</v>
      </c>
      <c r="D8" s="167">
        <v>1665</v>
      </c>
      <c r="E8" s="167">
        <v>3925</v>
      </c>
      <c r="F8" s="167">
        <v>16375</v>
      </c>
      <c r="G8" s="167">
        <v>57</v>
      </c>
      <c r="H8" s="167">
        <v>177</v>
      </c>
      <c r="I8" s="167">
        <v>680</v>
      </c>
      <c r="J8" s="167">
        <v>26625</v>
      </c>
      <c r="K8" s="167">
        <v>2</v>
      </c>
      <c r="L8" s="167">
        <v>10</v>
      </c>
      <c r="M8" s="167">
        <v>2775</v>
      </c>
      <c r="N8" s="167">
        <v>54756</v>
      </c>
      <c r="O8" s="167">
        <f t="shared" si="0"/>
        <v>7829</v>
      </c>
      <c r="P8" s="167">
        <f t="shared" si="1"/>
        <v>99608</v>
      </c>
    </row>
    <row r="9" spans="1:16" ht="15" customHeight="1">
      <c r="A9" s="57">
        <v>4</v>
      </c>
      <c r="B9" s="58" t="s">
        <v>58</v>
      </c>
      <c r="C9" s="167">
        <v>595</v>
      </c>
      <c r="D9" s="167">
        <v>1756</v>
      </c>
      <c r="E9" s="167">
        <v>17978</v>
      </c>
      <c r="F9" s="167">
        <v>38798</v>
      </c>
      <c r="G9" s="167">
        <v>23</v>
      </c>
      <c r="H9" s="167">
        <v>50</v>
      </c>
      <c r="I9" s="167">
        <v>790</v>
      </c>
      <c r="J9" s="167">
        <v>24919</v>
      </c>
      <c r="K9" s="167">
        <v>1</v>
      </c>
      <c r="L9" s="167">
        <v>2</v>
      </c>
      <c r="M9" s="167">
        <v>272</v>
      </c>
      <c r="N9" s="167">
        <v>2256</v>
      </c>
      <c r="O9" s="167">
        <f t="shared" si="0"/>
        <v>19659</v>
      </c>
      <c r="P9" s="167">
        <f t="shared" si="1"/>
        <v>67781</v>
      </c>
    </row>
    <row r="10" spans="1:16" ht="15" customHeight="1">
      <c r="A10" s="57">
        <v>5</v>
      </c>
      <c r="B10" s="58" t="s">
        <v>59</v>
      </c>
      <c r="C10" s="167">
        <v>153</v>
      </c>
      <c r="D10" s="167">
        <v>360.92</v>
      </c>
      <c r="E10" s="167">
        <v>3350</v>
      </c>
      <c r="F10" s="167">
        <v>7281.89</v>
      </c>
      <c r="G10" s="167">
        <v>131</v>
      </c>
      <c r="H10" s="167">
        <v>170.84</v>
      </c>
      <c r="I10" s="167">
        <v>2964</v>
      </c>
      <c r="J10" s="167">
        <v>6270.63</v>
      </c>
      <c r="K10" s="167">
        <v>2</v>
      </c>
      <c r="L10" s="167">
        <v>3.11</v>
      </c>
      <c r="M10" s="167">
        <v>799</v>
      </c>
      <c r="N10" s="167">
        <v>7197.3</v>
      </c>
      <c r="O10" s="167">
        <f t="shared" si="0"/>
        <v>7399</v>
      </c>
      <c r="P10" s="167">
        <f t="shared" si="1"/>
        <v>21284.690000000002</v>
      </c>
    </row>
    <row r="11" spans="1:16" ht="15" customHeight="1">
      <c r="A11" s="57">
        <v>6</v>
      </c>
      <c r="B11" s="175" t="s">
        <v>241</v>
      </c>
      <c r="C11" s="167">
        <v>0</v>
      </c>
      <c r="D11" s="167">
        <v>0</v>
      </c>
      <c r="E11" s="167">
        <v>0</v>
      </c>
      <c r="F11" s="167">
        <v>0</v>
      </c>
      <c r="G11" s="167">
        <v>0</v>
      </c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67">
        <v>0</v>
      </c>
      <c r="O11" s="167">
        <f t="shared" si="0"/>
        <v>0</v>
      </c>
      <c r="P11" s="167">
        <f t="shared" si="1"/>
        <v>0</v>
      </c>
    </row>
    <row r="12" spans="1:16" ht="15" customHeight="1">
      <c r="A12" s="57">
        <v>7</v>
      </c>
      <c r="B12" s="58" t="s">
        <v>60</v>
      </c>
      <c r="C12" s="167">
        <v>1459</v>
      </c>
      <c r="D12" s="167">
        <v>6716</v>
      </c>
      <c r="E12" s="167">
        <v>4633</v>
      </c>
      <c r="F12" s="167">
        <v>11808</v>
      </c>
      <c r="G12" s="167">
        <v>97</v>
      </c>
      <c r="H12" s="167">
        <v>847</v>
      </c>
      <c r="I12" s="167">
        <v>1104</v>
      </c>
      <c r="J12" s="167">
        <v>3472</v>
      </c>
      <c r="K12" s="167">
        <v>94</v>
      </c>
      <c r="L12" s="167">
        <v>2206</v>
      </c>
      <c r="M12" s="167">
        <v>1517</v>
      </c>
      <c r="N12" s="167">
        <v>1835</v>
      </c>
      <c r="O12" s="167">
        <f t="shared" si="0"/>
        <v>8904</v>
      </c>
      <c r="P12" s="167">
        <f t="shared" si="1"/>
        <v>26884</v>
      </c>
    </row>
    <row r="13" spans="1:16" ht="15" customHeight="1">
      <c r="A13" s="57">
        <v>8</v>
      </c>
      <c r="B13" s="58" t="s">
        <v>61</v>
      </c>
      <c r="C13" s="167">
        <v>1532</v>
      </c>
      <c r="D13" s="167">
        <v>1332</v>
      </c>
      <c r="E13" s="167">
        <v>14915</v>
      </c>
      <c r="F13" s="167">
        <v>23045</v>
      </c>
      <c r="G13" s="167">
        <v>0</v>
      </c>
      <c r="H13" s="167">
        <v>0</v>
      </c>
      <c r="I13" s="167">
        <v>2938</v>
      </c>
      <c r="J13" s="167">
        <v>3612</v>
      </c>
      <c r="K13" s="167">
        <v>7</v>
      </c>
      <c r="L13" s="167">
        <v>29</v>
      </c>
      <c r="M13" s="167">
        <v>2666</v>
      </c>
      <c r="N13" s="167">
        <v>12773</v>
      </c>
      <c r="O13" s="167">
        <f t="shared" si="0"/>
        <v>22058</v>
      </c>
      <c r="P13" s="167">
        <f t="shared" si="1"/>
        <v>40791</v>
      </c>
    </row>
    <row r="14" spans="1:16" ht="15" customHeight="1">
      <c r="A14" s="57">
        <v>9</v>
      </c>
      <c r="B14" s="58" t="s">
        <v>48</v>
      </c>
      <c r="C14" s="167">
        <v>124</v>
      </c>
      <c r="D14" s="167">
        <v>486.18</v>
      </c>
      <c r="E14" s="167">
        <v>1165</v>
      </c>
      <c r="F14" s="167">
        <v>4014.82</v>
      </c>
      <c r="G14" s="167">
        <v>19</v>
      </c>
      <c r="H14" s="167">
        <v>109.92</v>
      </c>
      <c r="I14" s="167">
        <v>172</v>
      </c>
      <c r="J14" s="167">
        <v>1154.44</v>
      </c>
      <c r="K14" s="167">
        <v>0</v>
      </c>
      <c r="L14" s="167">
        <v>0</v>
      </c>
      <c r="M14" s="167">
        <v>650</v>
      </c>
      <c r="N14" s="167">
        <v>5154.28</v>
      </c>
      <c r="O14" s="167">
        <f t="shared" si="0"/>
        <v>2130</v>
      </c>
      <c r="P14" s="167">
        <f t="shared" si="1"/>
        <v>10919.64</v>
      </c>
    </row>
    <row r="15" spans="1:16" ht="15" customHeight="1">
      <c r="A15" s="57">
        <v>10</v>
      </c>
      <c r="B15" s="58" t="s">
        <v>49</v>
      </c>
      <c r="C15" s="167">
        <v>89</v>
      </c>
      <c r="D15" s="167">
        <v>332</v>
      </c>
      <c r="E15" s="167">
        <v>1944</v>
      </c>
      <c r="F15" s="167">
        <v>3849</v>
      </c>
      <c r="G15" s="167">
        <v>2</v>
      </c>
      <c r="H15" s="167">
        <v>2</v>
      </c>
      <c r="I15" s="167">
        <v>139</v>
      </c>
      <c r="J15" s="167">
        <v>741</v>
      </c>
      <c r="K15" s="167">
        <v>4</v>
      </c>
      <c r="L15" s="167">
        <v>11</v>
      </c>
      <c r="M15" s="167">
        <v>484</v>
      </c>
      <c r="N15" s="167">
        <v>1963</v>
      </c>
      <c r="O15" s="167">
        <f t="shared" si="0"/>
        <v>2662</v>
      </c>
      <c r="P15" s="167">
        <f t="shared" si="1"/>
        <v>6898</v>
      </c>
    </row>
    <row r="16" spans="1:16" ht="15" customHeight="1">
      <c r="A16" s="57">
        <v>11</v>
      </c>
      <c r="B16" s="58" t="s">
        <v>81</v>
      </c>
      <c r="C16" s="167">
        <v>23</v>
      </c>
      <c r="D16" s="167">
        <v>80</v>
      </c>
      <c r="E16" s="167">
        <v>3196</v>
      </c>
      <c r="F16" s="167">
        <v>1866</v>
      </c>
      <c r="G16" s="167">
        <v>0</v>
      </c>
      <c r="H16" s="167">
        <v>0</v>
      </c>
      <c r="I16" s="167">
        <v>91</v>
      </c>
      <c r="J16" s="167">
        <v>1916</v>
      </c>
      <c r="K16" s="167">
        <v>0</v>
      </c>
      <c r="L16" s="167">
        <v>0</v>
      </c>
      <c r="M16" s="167">
        <v>343</v>
      </c>
      <c r="N16" s="167">
        <v>8673</v>
      </c>
      <c r="O16" s="167">
        <f t="shared" si="0"/>
        <v>3653</v>
      </c>
      <c r="P16" s="167">
        <f t="shared" si="1"/>
        <v>12535</v>
      </c>
    </row>
    <row r="17" spans="1:16" ht="15" customHeight="1">
      <c r="A17" s="57">
        <v>12</v>
      </c>
      <c r="B17" s="58" t="s">
        <v>62</v>
      </c>
      <c r="C17" s="167">
        <v>61</v>
      </c>
      <c r="D17" s="167">
        <v>78</v>
      </c>
      <c r="E17" s="167">
        <v>79</v>
      </c>
      <c r="F17" s="167">
        <v>86</v>
      </c>
      <c r="G17" s="167">
        <v>0</v>
      </c>
      <c r="H17" s="167">
        <v>0</v>
      </c>
      <c r="I17" s="167">
        <v>52</v>
      </c>
      <c r="J17" s="167">
        <v>61</v>
      </c>
      <c r="K17" s="167">
        <v>0</v>
      </c>
      <c r="L17" s="167">
        <v>0</v>
      </c>
      <c r="M17" s="167">
        <v>0</v>
      </c>
      <c r="N17" s="167">
        <v>0</v>
      </c>
      <c r="O17" s="167">
        <f t="shared" si="0"/>
        <v>192</v>
      </c>
      <c r="P17" s="167">
        <f t="shared" si="1"/>
        <v>225</v>
      </c>
    </row>
    <row r="18" spans="1:16" ht="15" customHeight="1">
      <c r="A18" s="57">
        <v>13</v>
      </c>
      <c r="B18" s="58" t="s">
        <v>63</v>
      </c>
      <c r="C18" s="167">
        <v>40</v>
      </c>
      <c r="D18" s="167">
        <v>79.180000000000007</v>
      </c>
      <c r="E18" s="167">
        <v>420</v>
      </c>
      <c r="F18" s="167">
        <v>708.04</v>
      </c>
      <c r="G18" s="167">
        <v>1</v>
      </c>
      <c r="H18" s="167">
        <v>0.66</v>
      </c>
      <c r="I18" s="167">
        <v>56</v>
      </c>
      <c r="J18" s="167">
        <v>194.33</v>
      </c>
      <c r="K18" s="167">
        <v>0</v>
      </c>
      <c r="L18" s="167">
        <v>0</v>
      </c>
      <c r="M18" s="167">
        <v>13</v>
      </c>
      <c r="N18" s="167">
        <v>47.91</v>
      </c>
      <c r="O18" s="167">
        <f t="shared" si="0"/>
        <v>530</v>
      </c>
      <c r="P18" s="167">
        <f t="shared" si="1"/>
        <v>1030.1200000000001</v>
      </c>
    </row>
    <row r="19" spans="1:16" ht="15" customHeight="1">
      <c r="A19" s="57">
        <v>14</v>
      </c>
      <c r="B19" s="90" t="s">
        <v>206</v>
      </c>
      <c r="C19" s="167">
        <v>119</v>
      </c>
      <c r="D19" s="167">
        <v>437.54</v>
      </c>
      <c r="E19" s="167">
        <v>1682</v>
      </c>
      <c r="F19" s="167">
        <v>3763.86</v>
      </c>
      <c r="G19" s="167">
        <v>9</v>
      </c>
      <c r="H19" s="167">
        <v>18.43</v>
      </c>
      <c r="I19" s="167">
        <v>270</v>
      </c>
      <c r="J19" s="167">
        <v>1283.0899999999999</v>
      </c>
      <c r="K19" s="167">
        <v>0</v>
      </c>
      <c r="L19" s="167">
        <v>0</v>
      </c>
      <c r="M19" s="167">
        <v>75</v>
      </c>
      <c r="N19" s="167">
        <v>957.64</v>
      </c>
      <c r="O19" s="167">
        <f t="shared" si="0"/>
        <v>2155</v>
      </c>
      <c r="P19" s="167">
        <f t="shared" si="1"/>
        <v>6460.5600000000013</v>
      </c>
    </row>
    <row r="20" spans="1:16" ht="15" customHeight="1">
      <c r="A20" s="57">
        <v>15</v>
      </c>
      <c r="B20" s="58" t="s">
        <v>207</v>
      </c>
      <c r="C20" s="167">
        <v>72</v>
      </c>
      <c r="D20" s="167">
        <v>31</v>
      </c>
      <c r="E20" s="167">
        <v>1013</v>
      </c>
      <c r="F20" s="167">
        <v>842</v>
      </c>
      <c r="G20" s="167">
        <v>4</v>
      </c>
      <c r="H20" s="167">
        <v>10</v>
      </c>
      <c r="I20" s="167">
        <v>1994</v>
      </c>
      <c r="J20" s="167">
        <v>8482</v>
      </c>
      <c r="K20" s="167">
        <v>0</v>
      </c>
      <c r="L20" s="167">
        <v>0</v>
      </c>
      <c r="M20" s="167">
        <v>39</v>
      </c>
      <c r="N20" s="167">
        <v>58</v>
      </c>
      <c r="O20" s="167">
        <f t="shared" si="0"/>
        <v>3122</v>
      </c>
      <c r="P20" s="167">
        <f t="shared" si="1"/>
        <v>9423</v>
      </c>
    </row>
    <row r="21" spans="1:16" ht="15" customHeight="1">
      <c r="A21" s="57">
        <v>16</v>
      </c>
      <c r="B21" s="58" t="s">
        <v>64</v>
      </c>
      <c r="C21" s="167">
        <v>492</v>
      </c>
      <c r="D21" s="167">
        <v>1255</v>
      </c>
      <c r="E21" s="167">
        <v>6509</v>
      </c>
      <c r="F21" s="167">
        <v>16089</v>
      </c>
      <c r="G21" s="167">
        <v>31</v>
      </c>
      <c r="H21" s="167">
        <v>40</v>
      </c>
      <c r="I21" s="167">
        <v>911</v>
      </c>
      <c r="J21" s="167">
        <v>9807</v>
      </c>
      <c r="K21" s="167">
        <v>4</v>
      </c>
      <c r="L21" s="167">
        <v>2</v>
      </c>
      <c r="M21" s="167">
        <v>1624</v>
      </c>
      <c r="N21" s="167">
        <v>9770</v>
      </c>
      <c r="O21" s="167">
        <f t="shared" si="0"/>
        <v>9571</v>
      </c>
      <c r="P21" s="167">
        <f t="shared" si="1"/>
        <v>36963</v>
      </c>
    </row>
    <row r="22" spans="1:16" ht="15" customHeight="1">
      <c r="A22" s="57">
        <v>17</v>
      </c>
      <c r="B22" s="90" t="s">
        <v>69</v>
      </c>
      <c r="C22" s="167">
        <v>0</v>
      </c>
      <c r="D22" s="167">
        <v>0</v>
      </c>
      <c r="E22" s="167">
        <v>0</v>
      </c>
      <c r="F22" s="167"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7">
        <f t="shared" si="0"/>
        <v>0</v>
      </c>
      <c r="P22" s="167">
        <f t="shared" si="1"/>
        <v>0</v>
      </c>
    </row>
    <row r="23" spans="1:16" ht="15" customHeight="1">
      <c r="A23" s="57">
        <v>18</v>
      </c>
      <c r="B23" s="58" t="s">
        <v>208</v>
      </c>
      <c r="C23" s="167">
        <v>0</v>
      </c>
      <c r="D23" s="167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67">
        <v>0</v>
      </c>
      <c r="O23" s="167">
        <f t="shared" si="0"/>
        <v>0</v>
      </c>
      <c r="P23" s="167">
        <f t="shared" si="1"/>
        <v>0</v>
      </c>
    </row>
    <row r="24" spans="1:16" ht="15" customHeight="1">
      <c r="A24" s="57">
        <v>19</v>
      </c>
      <c r="B24" s="91" t="s">
        <v>209</v>
      </c>
      <c r="C24" s="167">
        <v>13</v>
      </c>
      <c r="D24" s="167">
        <v>157.59</v>
      </c>
      <c r="E24" s="167">
        <v>100</v>
      </c>
      <c r="F24" s="167">
        <v>351.94</v>
      </c>
      <c r="G24" s="167">
        <v>0</v>
      </c>
      <c r="H24" s="167">
        <v>0</v>
      </c>
      <c r="I24" s="167">
        <v>8</v>
      </c>
      <c r="J24" s="167">
        <v>68.14</v>
      </c>
      <c r="K24" s="167">
        <v>0</v>
      </c>
      <c r="L24" s="167">
        <v>0</v>
      </c>
      <c r="M24" s="167">
        <v>93</v>
      </c>
      <c r="N24" s="167">
        <v>366.7</v>
      </c>
      <c r="O24" s="167">
        <f t="shared" si="0"/>
        <v>214</v>
      </c>
      <c r="P24" s="167">
        <f t="shared" si="1"/>
        <v>944.36999999999989</v>
      </c>
    </row>
    <row r="25" spans="1:16" ht="15" customHeight="1">
      <c r="A25" s="57">
        <v>20</v>
      </c>
      <c r="B25" s="58" t="s">
        <v>210</v>
      </c>
      <c r="C25" s="167">
        <v>0</v>
      </c>
      <c r="D25" s="167">
        <v>0</v>
      </c>
      <c r="E25" s="167">
        <v>0</v>
      </c>
      <c r="F25" s="167">
        <v>0</v>
      </c>
      <c r="G25" s="167">
        <v>0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67">
        <v>0</v>
      </c>
      <c r="N25" s="167">
        <v>0</v>
      </c>
      <c r="O25" s="167">
        <f t="shared" si="0"/>
        <v>0</v>
      </c>
      <c r="P25" s="167">
        <f t="shared" si="1"/>
        <v>0</v>
      </c>
    </row>
    <row r="26" spans="1:16" ht="15" customHeight="1">
      <c r="A26" s="57">
        <v>21</v>
      </c>
      <c r="B26" s="58" t="s">
        <v>211</v>
      </c>
      <c r="C26" s="167">
        <v>0</v>
      </c>
      <c r="D26" s="167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7">
        <v>0</v>
      </c>
      <c r="N26" s="167">
        <v>0</v>
      </c>
      <c r="O26" s="167">
        <f t="shared" si="0"/>
        <v>0</v>
      </c>
      <c r="P26" s="167">
        <f t="shared" si="1"/>
        <v>0</v>
      </c>
    </row>
    <row r="27" spans="1:16" ht="15" customHeight="1">
      <c r="A27" s="57">
        <v>22</v>
      </c>
      <c r="B27" s="58" t="s">
        <v>70</v>
      </c>
      <c r="C27" s="167">
        <v>8142</v>
      </c>
      <c r="D27" s="167">
        <v>5574</v>
      </c>
      <c r="E27" s="167">
        <v>70238</v>
      </c>
      <c r="F27" s="167">
        <v>107859</v>
      </c>
      <c r="G27" s="167">
        <v>3711</v>
      </c>
      <c r="H27" s="167">
        <v>5102</v>
      </c>
      <c r="I27" s="167">
        <v>16101</v>
      </c>
      <c r="J27" s="167">
        <v>33327</v>
      </c>
      <c r="K27" s="167">
        <v>243</v>
      </c>
      <c r="L27" s="167">
        <v>768</v>
      </c>
      <c r="M27" s="167">
        <v>14106</v>
      </c>
      <c r="N27" s="167">
        <v>32713</v>
      </c>
      <c r="O27" s="167">
        <f t="shared" si="0"/>
        <v>112541</v>
      </c>
      <c r="P27" s="167">
        <f t="shared" si="1"/>
        <v>185343</v>
      </c>
    </row>
    <row r="28" spans="1:16" ht="15" customHeight="1">
      <c r="A28" s="57">
        <v>23</v>
      </c>
      <c r="B28" s="58" t="s">
        <v>65</v>
      </c>
      <c r="C28" s="167">
        <v>103</v>
      </c>
      <c r="D28" s="167">
        <v>270</v>
      </c>
      <c r="E28" s="167">
        <v>3407</v>
      </c>
      <c r="F28" s="167">
        <v>4789</v>
      </c>
      <c r="G28" s="167">
        <v>27</v>
      </c>
      <c r="H28" s="167">
        <v>9</v>
      </c>
      <c r="I28" s="167">
        <v>390</v>
      </c>
      <c r="J28" s="167">
        <v>1334</v>
      </c>
      <c r="K28" s="167">
        <v>0</v>
      </c>
      <c r="L28" s="167">
        <v>0</v>
      </c>
      <c r="M28" s="167">
        <v>457</v>
      </c>
      <c r="N28" s="167">
        <v>2547</v>
      </c>
      <c r="O28" s="167">
        <f t="shared" si="0"/>
        <v>4384</v>
      </c>
      <c r="P28" s="167">
        <f t="shared" si="1"/>
        <v>8949</v>
      </c>
    </row>
    <row r="29" spans="1:16" ht="15" customHeight="1">
      <c r="A29" s="57">
        <v>24</v>
      </c>
      <c r="B29" s="58" t="s">
        <v>212</v>
      </c>
      <c r="C29" s="167">
        <v>844</v>
      </c>
      <c r="D29" s="167">
        <v>952</v>
      </c>
      <c r="E29" s="167">
        <v>8154</v>
      </c>
      <c r="F29" s="167">
        <v>5913</v>
      </c>
      <c r="G29" s="167">
        <v>0</v>
      </c>
      <c r="H29" s="167">
        <v>0</v>
      </c>
      <c r="I29" s="167">
        <v>1687</v>
      </c>
      <c r="J29" s="167">
        <v>2622</v>
      </c>
      <c r="K29" s="167">
        <v>0</v>
      </c>
      <c r="L29" s="167">
        <v>0</v>
      </c>
      <c r="M29" s="167">
        <v>16041</v>
      </c>
      <c r="N29" s="167">
        <v>11089</v>
      </c>
      <c r="O29" s="167">
        <f t="shared" si="0"/>
        <v>26726</v>
      </c>
      <c r="P29" s="167">
        <f t="shared" si="1"/>
        <v>20576</v>
      </c>
    </row>
    <row r="30" spans="1:16" ht="15" customHeight="1">
      <c r="A30" s="57">
        <v>25</v>
      </c>
      <c r="B30" s="58" t="s">
        <v>66</v>
      </c>
      <c r="C30" s="167">
        <v>342</v>
      </c>
      <c r="D30" s="167">
        <v>1532</v>
      </c>
      <c r="E30" s="167">
        <v>8202</v>
      </c>
      <c r="F30" s="167">
        <v>13212</v>
      </c>
      <c r="G30" s="167">
        <v>83</v>
      </c>
      <c r="H30" s="167">
        <v>121</v>
      </c>
      <c r="I30" s="167">
        <v>448</v>
      </c>
      <c r="J30" s="167">
        <v>5264</v>
      </c>
      <c r="K30" s="167">
        <v>2</v>
      </c>
      <c r="L30" s="167">
        <v>1</v>
      </c>
      <c r="M30" s="167">
        <v>1902</v>
      </c>
      <c r="N30" s="167">
        <v>20202</v>
      </c>
      <c r="O30" s="167">
        <f t="shared" si="0"/>
        <v>10979</v>
      </c>
      <c r="P30" s="167">
        <f t="shared" si="1"/>
        <v>40332</v>
      </c>
    </row>
    <row r="31" spans="1:16" ht="15" customHeight="1">
      <c r="A31" s="57">
        <v>26</v>
      </c>
      <c r="B31" s="175" t="s">
        <v>67</v>
      </c>
      <c r="C31" s="167">
        <v>1</v>
      </c>
      <c r="D31" s="167">
        <v>2.1</v>
      </c>
      <c r="E31" s="167">
        <v>155</v>
      </c>
      <c r="F31" s="167">
        <v>582</v>
      </c>
      <c r="G31" s="167">
        <v>0</v>
      </c>
      <c r="H31" s="167">
        <v>0</v>
      </c>
      <c r="I31" s="167">
        <v>2</v>
      </c>
      <c r="J31" s="167">
        <v>3.5</v>
      </c>
      <c r="K31" s="167">
        <v>0</v>
      </c>
      <c r="L31" s="167">
        <v>0</v>
      </c>
      <c r="M31" s="167">
        <v>0</v>
      </c>
      <c r="N31" s="167">
        <v>0</v>
      </c>
      <c r="O31" s="167">
        <f t="shared" si="0"/>
        <v>158</v>
      </c>
      <c r="P31" s="167">
        <f t="shared" si="1"/>
        <v>587.6</v>
      </c>
    </row>
    <row r="32" spans="1:16" ht="15" customHeight="1">
      <c r="A32" s="57">
        <v>27</v>
      </c>
      <c r="B32" s="58" t="s">
        <v>50</v>
      </c>
      <c r="C32" s="167">
        <v>156</v>
      </c>
      <c r="D32" s="167">
        <v>522</v>
      </c>
      <c r="E32" s="167">
        <v>912</v>
      </c>
      <c r="F32" s="167">
        <v>2046</v>
      </c>
      <c r="G32" s="167">
        <v>5</v>
      </c>
      <c r="H32" s="167">
        <v>0.68</v>
      </c>
      <c r="I32" s="167">
        <v>241</v>
      </c>
      <c r="J32" s="167">
        <v>129</v>
      </c>
      <c r="K32" s="167">
        <v>1</v>
      </c>
      <c r="L32" s="167">
        <v>1.56</v>
      </c>
      <c r="M32" s="167">
        <v>549</v>
      </c>
      <c r="N32" s="167">
        <v>341</v>
      </c>
      <c r="O32" s="167">
        <f t="shared" si="0"/>
        <v>1864</v>
      </c>
      <c r="P32" s="167">
        <f t="shared" si="1"/>
        <v>3040.24</v>
      </c>
    </row>
    <row r="33" spans="1:16" s="268" customFormat="1" ht="15" customHeight="1">
      <c r="A33" s="265" t="s">
        <v>345</v>
      </c>
      <c r="B33" s="59" t="s">
        <v>286</v>
      </c>
      <c r="C33" s="169">
        <f>SUM(C6:C32)</f>
        <v>20859</v>
      </c>
      <c r="D33" s="169">
        <f t="shared" ref="D33:N33" si="2">SUM(D6:D32)</f>
        <v>34601.030000000006</v>
      </c>
      <c r="E33" s="169">
        <f t="shared" si="2"/>
        <v>162681</v>
      </c>
      <c r="F33" s="169">
        <f t="shared" si="2"/>
        <v>284918.07999999996</v>
      </c>
      <c r="G33" s="169">
        <f t="shared" si="2"/>
        <v>4262</v>
      </c>
      <c r="H33" s="169">
        <f t="shared" si="2"/>
        <v>6760.5300000000007</v>
      </c>
      <c r="I33" s="169">
        <f t="shared" si="2"/>
        <v>32066</v>
      </c>
      <c r="J33" s="169">
        <f t="shared" si="2"/>
        <v>139358.29999999999</v>
      </c>
      <c r="K33" s="169">
        <f t="shared" si="2"/>
        <v>360</v>
      </c>
      <c r="L33" s="169">
        <f t="shared" si="2"/>
        <v>3033.67</v>
      </c>
      <c r="M33" s="169">
        <f t="shared" si="2"/>
        <v>46504</v>
      </c>
      <c r="N33" s="169">
        <f t="shared" si="2"/>
        <v>190377.34</v>
      </c>
      <c r="O33" s="169">
        <f t="shared" ref="O33" si="3">SUM(O6:O32)</f>
        <v>266732</v>
      </c>
      <c r="P33" s="169">
        <f t="shared" ref="P33" si="4">SUM(P6:P32)</f>
        <v>659048.94999999995</v>
      </c>
    </row>
    <row r="34" spans="1:16" ht="15" customHeight="1">
      <c r="A34" s="57">
        <v>28</v>
      </c>
      <c r="B34" s="58" t="s">
        <v>47</v>
      </c>
      <c r="C34" s="167">
        <v>110</v>
      </c>
      <c r="D34" s="167">
        <v>553.91</v>
      </c>
      <c r="E34" s="167">
        <v>4830</v>
      </c>
      <c r="F34" s="167">
        <v>6480.28</v>
      </c>
      <c r="G34" s="167">
        <v>3</v>
      </c>
      <c r="H34" s="167">
        <v>13.87</v>
      </c>
      <c r="I34" s="167">
        <v>606</v>
      </c>
      <c r="J34" s="167">
        <v>3849.76</v>
      </c>
      <c r="K34" s="167">
        <v>0</v>
      </c>
      <c r="L34" s="167">
        <v>0</v>
      </c>
      <c r="M34" s="167">
        <v>0</v>
      </c>
      <c r="N34" s="167">
        <v>0</v>
      </c>
      <c r="O34" s="167">
        <f t="shared" si="0"/>
        <v>5549</v>
      </c>
      <c r="P34" s="167">
        <f t="shared" si="1"/>
        <v>10897.82</v>
      </c>
    </row>
    <row r="35" spans="1:16" ht="15" customHeight="1">
      <c r="A35" s="57">
        <v>29</v>
      </c>
      <c r="B35" s="58" t="s">
        <v>214</v>
      </c>
      <c r="C35" s="167">
        <v>224</v>
      </c>
      <c r="D35" s="167">
        <v>72.44</v>
      </c>
      <c r="E35" s="167">
        <v>52229</v>
      </c>
      <c r="F35" s="167">
        <v>16404.55</v>
      </c>
      <c r="G35" s="167">
        <v>11</v>
      </c>
      <c r="H35" s="167">
        <v>2.0699999999999998</v>
      </c>
      <c r="I35" s="167">
        <v>113</v>
      </c>
      <c r="J35" s="167">
        <v>37.76</v>
      </c>
      <c r="K35" s="167">
        <v>1</v>
      </c>
      <c r="L35" s="167">
        <v>0.67</v>
      </c>
      <c r="M35" s="167">
        <v>48</v>
      </c>
      <c r="N35" s="167">
        <v>23.02</v>
      </c>
      <c r="O35" s="167">
        <f t="shared" si="0"/>
        <v>52626</v>
      </c>
      <c r="P35" s="167">
        <f t="shared" si="1"/>
        <v>16540.509999999995</v>
      </c>
    </row>
    <row r="36" spans="1:16" ht="15" customHeight="1">
      <c r="A36" s="57">
        <v>30</v>
      </c>
      <c r="B36" s="58" t="s">
        <v>215</v>
      </c>
      <c r="C36" s="167">
        <v>0</v>
      </c>
      <c r="D36" s="167">
        <v>0</v>
      </c>
      <c r="E36" s="167">
        <v>0</v>
      </c>
      <c r="F36" s="167">
        <v>0</v>
      </c>
      <c r="G36" s="167">
        <v>0</v>
      </c>
      <c r="H36" s="167">
        <v>0</v>
      </c>
      <c r="I36" s="167">
        <v>0</v>
      </c>
      <c r="J36" s="167">
        <v>0</v>
      </c>
      <c r="K36" s="167">
        <v>0</v>
      </c>
      <c r="L36" s="167">
        <v>0</v>
      </c>
      <c r="M36" s="167">
        <v>0</v>
      </c>
      <c r="N36" s="167">
        <v>0</v>
      </c>
      <c r="O36" s="167">
        <f t="shared" si="0"/>
        <v>0</v>
      </c>
      <c r="P36" s="167">
        <f t="shared" si="1"/>
        <v>0</v>
      </c>
    </row>
    <row r="37" spans="1:16" ht="15" customHeight="1">
      <c r="A37" s="57">
        <v>31</v>
      </c>
      <c r="B37" s="58" t="s">
        <v>78</v>
      </c>
      <c r="C37" s="167">
        <v>0</v>
      </c>
      <c r="D37" s="167">
        <v>0</v>
      </c>
      <c r="E37" s="167">
        <v>0</v>
      </c>
      <c r="F37" s="167">
        <v>0</v>
      </c>
      <c r="G37" s="167">
        <v>0</v>
      </c>
      <c r="H37" s="167">
        <v>0</v>
      </c>
      <c r="I37" s="167">
        <v>0</v>
      </c>
      <c r="J37" s="167">
        <v>0</v>
      </c>
      <c r="K37" s="167">
        <v>0</v>
      </c>
      <c r="L37" s="167">
        <v>0</v>
      </c>
      <c r="M37" s="167">
        <v>0</v>
      </c>
      <c r="N37" s="167">
        <v>0</v>
      </c>
      <c r="O37" s="167">
        <f t="shared" si="0"/>
        <v>0</v>
      </c>
      <c r="P37" s="167">
        <f t="shared" si="1"/>
        <v>0</v>
      </c>
    </row>
    <row r="38" spans="1:16" ht="15" customHeight="1">
      <c r="A38" s="57">
        <v>32</v>
      </c>
      <c r="B38" s="58" t="s">
        <v>51</v>
      </c>
      <c r="C38" s="167">
        <v>0</v>
      </c>
      <c r="D38" s="167">
        <v>0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7">
        <v>0</v>
      </c>
      <c r="L38" s="167">
        <v>0</v>
      </c>
      <c r="M38" s="167">
        <v>0</v>
      </c>
      <c r="N38" s="167">
        <v>0</v>
      </c>
      <c r="O38" s="167">
        <f t="shared" si="0"/>
        <v>0</v>
      </c>
      <c r="P38" s="167">
        <f t="shared" si="1"/>
        <v>0</v>
      </c>
    </row>
    <row r="39" spans="1:16" ht="15" customHeight="1">
      <c r="A39" s="57">
        <v>33</v>
      </c>
      <c r="B39" s="58" t="s">
        <v>216</v>
      </c>
      <c r="C39" s="167">
        <v>1</v>
      </c>
      <c r="D39" s="167">
        <v>4.92</v>
      </c>
      <c r="E39" s="167">
        <v>45</v>
      </c>
      <c r="F39" s="167">
        <v>339.47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7">
        <v>22</v>
      </c>
      <c r="N39" s="167">
        <v>376.27</v>
      </c>
      <c r="O39" s="167">
        <f t="shared" si="0"/>
        <v>68</v>
      </c>
      <c r="P39" s="167">
        <f t="shared" si="1"/>
        <v>720.66000000000008</v>
      </c>
    </row>
    <row r="40" spans="1:16" ht="15" customHeight="1">
      <c r="A40" s="57">
        <v>34</v>
      </c>
      <c r="B40" s="58" t="s">
        <v>217</v>
      </c>
      <c r="C40" s="167">
        <v>2</v>
      </c>
      <c r="D40" s="167">
        <v>5.13</v>
      </c>
      <c r="E40" s="167">
        <v>3</v>
      </c>
      <c r="F40" s="167">
        <v>0.44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7">
        <v>0</v>
      </c>
      <c r="O40" s="167">
        <f t="shared" si="0"/>
        <v>5</v>
      </c>
      <c r="P40" s="167">
        <f t="shared" si="1"/>
        <v>5.57</v>
      </c>
    </row>
    <row r="41" spans="1:16" ht="15" customHeight="1">
      <c r="A41" s="57">
        <v>35</v>
      </c>
      <c r="B41" s="58" t="s">
        <v>218</v>
      </c>
      <c r="C41" s="167">
        <v>63</v>
      </c>
      <c r="D41" s="167">
        <v>571</v>
      </c>
      <c r="E41" s="167">
        <v>85</v>
      </c>
      <c r="F41" s="167">
        <v>212</v>
      </c>
      <c r="G41" s="167">
        <v>0</v>
      </c>
      <c r="H41" s="167">
        <v>0</v>
      </c>
      <c r="I41" s="167">
        <v>17</v>
      </c>
      <c r="J41" s="167">
        <v>45</v>
      </c>
      <c r="K41" s="167">
        <v>2</v>
      </c>
      <c r="L41" s="167">
        <v>6</v>
      </c>
      <c r="M41" s="167">
        <v>0</v>
      </c>
      <c r="N41" s="167">
        <v>0</v>
      </c>
      <c r="O41" s="167">
        <f t="shared" si="0"/>
        <v>167</v>
      </c>
      <c r="P41" s="167">
        <f t="shared" si="1"/>
        <v>834</v>
      </c>
    </row>
    <row r="42" spans="1:16" ht="15" customHeight="1">
      <c r="A42" s="57">
        <v>36</v>
      </c>
      <c r="B42" s="58" t="s">
        <v>71</v>
      </c>
      <c r="C42" s="167">
        <v>241</v>
      </c>
      <c r="D42" s="167">
        <v>198</v>
      </c>
      <c r="E42" s="167">
        <v>17742</v>
      </c>
      <c r="F42" s="167">
        <v>17566</v>
      </c>
      <c r="G42" s="167">
        <v>21</v>
      </c>
      <c r="H42" s="167">
        <v>5</v>
      </c>
      <c r="I42" s="167">
        <v>1003</v>
      </c>
      <c r="J42" s="167">
        <v>4210</v>
      </c>
      <c r="K42" s="167">
        <v>4</v>
      </c>
      <c r="L42" s="167">
        <v>1</v>
      </c>
      <c r="M42" s="167">
        <v>335</v>
      </c>
      <c r="N42" s="167">
        <v>1477</v>
      </c>
      <c r="O42" s="167">
        <f t="shared" si="0"/>
        <v>19346</v>
      </c>
      <c r="P42" s="167">
        <f t="shared" si="1"/>
        <v>23457</v>
      </c>
    </row>
    <row r="43" spans="1:16" ht="15" customHeight="1">
      <c r="A43" s="57">
        <v>37</v>
      </c>
      <c r="B43" s="58" t="s">
        <v>72</v>
      </c>
      <c r="C43" s="201">
        <v>346</v>
      </c>
      <c r="D43" s="274">
        <v>1336</v>
      </c>
      <c r="E43" s="201">
        <v>7729</v>
      </c>
      <c r="F43" s="201">
        <v>20327</v>
      </c>
      <c r="G43" s="201">
        <v>90</v>
      </c>
      <c r="H43" s="274">
        <v>220</v>
      </c>
      <c r="I43" s="201">
        <v>1316</v>
      </c>
      <c r="J43" s="201">
        <v>8941</v>
      </c>
      <c r="K43" s="201">
        <v>172</v>
      </c>
      <c r="L43" s="274">
        <v>267</v>
      </c>
      <c r="M43" s="201">
        <v>351</v>
      </c>
      <c r="N43" s="201">
        <v>3110</v>
      </c>
      <c r="O43" s="167">
        <f t="shared" si="0"/>
        <v>10004</v>
      </c>
      <c r="P43" s="167">
        <f t="shared" si="1"/>
        <v>34201</v>
      </c>
    </row>
    <row r="44" spans="1:16" ht="15" customHeight="1">
      <c r="A44" s="57">
        <v>38</v>
      </c>
      <c r="B44" s="58" t="s">
        <v>219</v>
      </c>
      <c r="C44" s="167">
        <v>2</v>
      </c>
      <c r="D44" s="167">
        <v>0.84</v>
      </c>
      <c r="E44" s="167">
        <v>502</v>
      </c>
      <c r="F44" s="167">
        <v>235</v>
      </c>
      <c r="G44" s="167">
        <v>0</v>
      </c>
      <c r="H44" s="167">
        <v>0</v>
      </c>
      <c r="I44" s="167">
        <v>11</v>
      </c>
      <c r="J44" s="167">
        <v>4.45</v>
      </c>
      <c r="K44" s="167">
        <v>0</v>
      </c>
      <c r="L44" s="167">
        <v>0</v>
      </c>
      <c r="M44" s="167">
        <v>28</v>
      </c>
      <c r="N44" s="167">
        <v>14</v>
      </c>
      <c r="O44" s="167">
        <f t="shared" si="0"/>
        <v>543</v>
      </c>
      <c r="P44" s="167">
        <f t="shared" si="1"/>
        <v>254.29</v>
      </c>
    </row>
    <row r="45" spans="1:16" ht="15" customHeight="1">
      <c r="A45" s="57">
        <v>39</v>
      </c>
      <c r="B45" s="58" t="s">
        <v>220</v>
      </c>
      <c r="C45" s="167">
        <v>71</v>
      </c>
      <c r="D45" s="167">
        <v>118.17</v>
      </c>
      <c r="E45" s="167">
        <v>4867</v>
      </c>
      <c r="F45" s="167">
        <v>9697.17</v>
      </c>
      <c r="G45" s="167">
        <v>4</v>
      </c>
      <c r="H45" s="167">
        <v>0.61</v>
      </c>
      <c r="I45" s="167">
        <v>194</v>
      </c>
      <c r="J45" s="167">
        <v>763.4</v>
      </c>
      <c r="K45" s="167">
        <v>1</v>
      </c>
      <c r="L45" s="167">
        <v>0.31</v>
      </c>
      <c r="M45" s="167">
        <v>544</v>
      </c>
      <c r="N45" s="167">
        <v>1744.01</v>
      </c>
      <c r="O45" s="167">
        <f t="shared" si="0"/>
        <v>5681</v>
      </c>
      <c r="P45" s="167">
        <f t="shared" si="1"/>
        <v>12323.67</v>
      </c>
    </row>
    <row r="46" spans="1:16" ht="15" customHeight="1">
      <c r="A46" s="57">
        <v>40</v>
      </c>
      <c r="B46" s="58" t="s">
        <v>221</v>
      </c>
      <c r="C46" s="167">
        <v>0</v>
      </c>
      <c r="D46" s="167">
        <v>0</v>
      </c>
      <c r="E46" s="167">
        <v>73</v>
      </c>
      <c r="F46" s="167">
        <v>430</v>
      </c>
      <c r="G46" s="167">
        <v>5</v>
      </c>
      <c r="H46" s="167">
        <v>72</v>
      </c>
      <c r="I46" s="167">
        <v>0</v>
      </c>
      <c r="J46" s="167">
        <v>0</v>
      </c>
      <c r="K46" s="167">
        <v>0</v>
      </c>
      <c r="L46" s="167">
        <v>0</v>
      </c>
      <c r="M46" s="167">
        <v>7</v>
      </c>
      <c r="N46" s="167">
        <v>74</v>
      </c>
      <c r="O46" s="167">
        <f t="shared" si="0"/>
        <v>85</v>
      </c>
      <c r="P46" s="167">
        <f t="shared" si="1"/>
        <v>576</v>
      </c>
    </row>
    <row r="47" spans="1:16" ht="15" customHeight="1">
      <c r="A47" s="57">
        <v>41</v>
      </c>
      <c r="B47" s="58" t="s">
        <v>222</v>
      </c>
      <c r="C47" s="167">
        <v>4</v>
      </c>
      <c r="D47" s="167">
        <v>49.76</v>
      </c>
      <c r="E47" s="167">
        <v>36</v>
      </c>
      <c r="F47" s="167">
        <v>326.04000000000002</v>
      </c>
      <c r="G47" s="167">
        <v>0</v>
      </c>
      <c r="H47" s="167">
        <v>0</v>
      </c>
      <c r="I47" s="167">
        <v>8</v>
      </c>
      <c r="J47" s="167">
        <v>112.41</v>
      </c>
      <c r="K47" s="167">
        <v>0</v>
      </c>
      <c r="L47" s="167">
        <v>0</v>
      </c>
      <c r="M47" s="167">
        <v>19</v>
      </c>
      <c r="N47" s="167">
        <v>81.319999999999993</v>
      </c>
      <c r="O47" s="167">
        <f t="shared" si="0"/>
        <v>67</v>
      </c>
      <c r="P47" s="167">
        <f t="shared" si="1"/>
        <v>569.53</v>
      </c>
    </row>
    <row r="48" spans="1:16" ht="15" customHeight="1">
      <c r="A48" s="57">
        <v>42</v>
      </c>
      <c r="B48" s="58" t="s">
        <v>223</v>
      </c>
      <c r="C48" s="167">
        <v>0</v>
      </c>
      <c r="D48" s="167">
        <v>0</v>
      </c>
      <c r="E48" s="167">
        <v>0</v>
      </c>
      <c r="F48" s="167">
        <v>0</v>
      </c>
      <c r="G48" s="167">
        <v>0</v>
      </c>
      <c r="H48" s="167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>
        <v>0</v>
      </c>
      <c r="O48" s="167">
        <f t="shared" si="0"/>
        <v>0</v>
      </c>
      <c r="P48" s="167">
        <f t="shared" si="1"/>
        <v>0</v>
      </c>
    </row>
    <row r="49" spans="1:16" ht="15" customHeight="1">
      <c r="A49" s="57">
        <v>43</v>
      </c>
      <c r="B49" s="58" t="s">
        <v>73</v>
      </c>
      <c r="C49" s="167">
        <v>33</v>
      </c>
      <c r="D49" s="167">
        <v>111</v>
      </c>
      <c r="E49" s="167">
        <v>1370</v>
      </c>
      <c r="F49" s="167">
        <v>4216</v>
      </c>
      <c r="G49" s="167">
        <v>34</v>
      </c>
      <c r="H49" s="167">
        <v>81</v>
      </c>
      <c r="I49" s="167">
        <v>343</v>
      </c>
      <c r="J49" s="167">
        <v>3343</v>
      </c>
      <c r="K49" s="167">
        <v>2</v>
      </c>
      <c r="L49" s="167">
        <v>8</v>
      </c>
      <c r="M49" s="167">
        <v>245</v>
      </c>
      <c r="N49" s="167">
        <v>4102</v>
      </c>
      <c r="O49" s="167">
        <f t="shared" si="0"/>
        <v>2027</v>
      </c>
      <c r="P49" s="167">
        <f t="shared" si="1"/>
        <v>11861</v>
      </c>
    </row>
    <row r="50" spans="1:16" ht="15" customHeight="1">
      <c r="A50" s="57">
        <v>44</v>
      </c>
      <c r="B50" s="58" t="s">
        <v>224</v>
      </c>
      <c r="C50" s="167">
        <v>0</v>
      </c>
      <c r="D50" s="167">
        <v>0</v>
      </c>
      <c r="E50" s="167">
        <v>1</v>
      </c>
      <c r="F50" s="167">
        <v>21.83</v>
      </c>
      <c r="G50" s="167">
        <v>0</v>
      </c>
      <c r="H50" s="167">
        <v>0</v>
      </c>
      <c r="I50" s="167">
        <v>0</v>
      </c>
      <c r="J50" s="167">
        <v>0</v>
      </c>
      <c r="K50" s="167">
        <v>0</v>
      </c>
      <c r="L50" s="167">
        <v>0</v>
      </c>
      <c r="M50" s="167">
        <v>0</v>
      </c>
      <c r="N50" s="167">
        <v>0</v>
      </c>
      <c r="O50" s="167">
        <f t="shared" si="0"/>
        <v>1</v>
      </c>
      <c r="P50" s="167">
        <f t="shared" si="1"/>
        <v>21.83</v>
      </c>
    </row>
    <row r="51" spans="1:16" ht="15" customHeight="1">
      <c r="A51" s="57">
        <v>45</v>
      </c>
      <c r="B51" s="58" t="s">
        <v>225</v>
      </c>
      <c r="C51" s="167">
        <v>7</v>
      </c>
      <c r="D51" s="167">
        <v>1</v>
      </c>
      <c r="E51" s="167">
        <v>4775</v>
      </c>
      <c r="F51" s="167">
        <v>777</v>
      </c>
      <c r="G51" s="167">
        <v>17</v>
      </c>
      <c r="H51" s="167">
        <v>2</v>
      </c>
      <c r="I51" s="167">
        <v>26</v>
      </c>
      <c r="J51" s="167">
        <v>29</v>
      </c>
      <c r="K51" s="167">
        <v>2</v>
      </c>
      <c r="L51" s="167">
        <v>1</v>
      </c>
      <c r="M51" s="167">
        <v>44</v>
      </c>
      <c r="N51" s="167">
        <v>114</v>
      </c>
      <c r="O51" s="167">
        <f t="shared" si="0"/>
        <v>4871</v>
      </c>
      <c r="P51" s="167">
        <f t="shared" si="1"/>
        <v>924</v>
      </c>
    </row>
    <row r="52" spans="1:16" ht="15" customHeight="1">
      <c r="A52" s="57">
        <v>46</v>
      </c>
      <c r="B52" s="58" t="s">
        <v>226</v>
      </c>
      <c r="C52" s="167">
        <v>0</v>
      </c>
      <c r="D52" s="167">
        <v>0</v>
      </c>
      <c r="E52" s="167">
        <v>0</v>
      </c>
      <c r="F52" s="167">
        <v>0</v>
      </c>
      <c r="G52" s="167">
        <v>0</v>
      </c>
      <c r="H52" s="167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>
        <v>0</v>
      </c>
      <c r="O52" s="167">
        <f t="shared" si="0"/>
        <v>0</v>
      </c>
      <c r="P52" s="167">
        <f t="shared" si="1"/>
        <v>0</v>
      </c>
    </row>
    <row r="53" spans="1:16" ht="15" customHeight="1">
      <c r="A53" s="57">
        <v>47</v>
      </c>
      <c r="B53" s="58" t="s">
        <v>77</v>
      </c>
      <c r="C53" s="167">
        <v>0</v>
      </c>
      <c r="D53" s="167">
        <v>0</v>
      </c>
      <c r="E53" s="167">
        <v>0</v>
      </c>
      <c r="F53" s="167">
        <v>0</v>
      </c>
      <c r="G53" s="167">
        <v>0</v>
      </c>
      <c r="H53" s="167">
        <v>0</v>
      </c>
      <c r="I53" s="167">
        <v>0</v>
      </c>
      <c r="J53" s="167">
        <v>0</v>
      </c>
      <c r="K53" s="167">
        <v>0</v>
      </c>
      <c r="L53" s="167">
        <v>0</v>
      </c>
      <c r="M53" s="167">
        <v>0</v>
      </c>
      <c r="N53" s="167">
        <v>0</v>
      </c>
      <c r="O53" s="167">
        <f t="shared" si="0"/>
        <v>0</v>
      </c>
      <c r="P53" s="167">
        <f t="shared" si="1"/>
        <v>0</v>
      </c>
    </row>
    <row r="54" spans="1:16" ht="15" customHeight="1">
      <c r="A54" s="57">
        <v>48</v>
      </c>
      <c r="B54" s="58" t="s">
        <v>227</v>
      </c>
      <c r="C54" s="167">
        <v>0</v>
      </c>
      <c r="D54" s="167">
        <v>0</v>
      </c>
      <c r="E54" s="167">
        <v>0</v>
      </c>
      <c r="F54" s="167">
        <v>0</v>
      </c>
      <c r="G54" s="167">
        <v>0</v>
      </c>
      <c r="H54" s="167">
        <v>0</v>
      </c>
      <c r="I54" s="167">
        <v>0</v>
      </c>
      <c r="J54" s="167">
        <v>0</v>
      </c>
      <c r="K54" s="167">
        <v>0</v>
      </c>
      <c r="L54" s="167">
        <v>0</v>
      </c>
      <c r="M54" s="167">
        <v>0</v>
      </c>
      <c r="N54" s="167">
        <v>0</v>
      </c>
      <c r="O54" s="167">
        <f t="shared" si="0"/>
        <v>0</v>
      </c>
      <c r="P54" s="167">
        <f t="shared" si="1"/>
        <v>0</v>
      </c>
    </row>
    <row r="55" spans="1:16" ht="15" customHeight="1">
      <c r="A55" s="57">
        <v>49</v>
      </c>
      <c r="B55" s="58" t="s">
        <v>76</v>
      </c>
      <c r="C55" s="167">
        <v>1</v>
      </c>
      <c r="D55" s="167">
        <v>0.97</v>
      </c>
      <c r="E55" s="167">
        <v>13</v>
      </c>
      <c r="F55" s="167">
        <v>296</v>
      </c>
      <c r="G55" s="167">
        <v>0</v>
      </c>
      <c r="H55" s="167">
        <v>0</v>
      </c>
      <c r="I55" s="167">
        <v>2</v>
      </c>
      <c r="J55" s="167">
        <v>4.6399999999999997</v>
      </c>
      <c r="K55" s="167">
        <v>0</v>
      </c>
      <c r="L55" s="167">
        <v>0</v>
      </c>
      <c r="M55" s="167">
        <v>28</v>
      </c>
      <c r="N55" s="167">
        <v>2656</v>
      </c>
      <c r="O55" s="167">
        <f t="shared" si="0"/>
        <v>44</v>
      </c>
      <c r="P55" s="167">
        <f t="shared" si="1"/>
        <v>2957.61</v>
      </c>
    </row>
    <row r="56" spans="1:16" s="268" customFormat="1" ht="15" customHeight="1">
      <c r="A56" s="59" t="s">
        <v>345</v>
      </c>
      <c r="B56" s="59" t="s">
        <v>287</v>
      </c>
      <c r="C56" s="169">
        <f>SUM(C34:C55)</f>
        <v>1105</v>
      </c>
      <c r="D56" s="169">
        <f t="shared" ref="D56:N56" si="5">SUM(D34:D55)</f>
        <v>3023.14</v>
      </c>
      <c r="E56" s="169">
        <f t="shared" si="5"/>
        <v>94300</v>
      </c>
      <c r="F56" s="169">
        <f t="shared" si="5"/>
        <v>77328.78</v>
      </c>
      <c r="G56" s="169">
        <f t="shared" si="5"/>
        <v>185</v>
      </c>
      <c r="H56" s="169">
        <f t="shared" si="5"/>
        <v>396.55</v>
      </c>
      <c r="I56" s="169">
        <f t="shared" si="5"/>
        <v>3639</v>
      </c>
      <c r="J56" s="169">
        <f t="shared" si="5"/>
        <v>21340.420000000002</v>
      </c>
      <c r="K56" s="169">
        <f t="shared" si="5"/>
        <v>184</v>
      </c>
      <c r="L56" s="169">
        <f t="shared" si="5"/>
        <v>283.98</v>
      </c>
      <c r="M56" s="169">
        <f t="shared" si="5"/>
        <v>1671</v>
      </c>
      <c r="N56" s="169">
        <f t="shared" si="5"/>
        <v>13771.619999999999</v>
      </c>
      <c r="O56" s="169">
        <f t="shared" ref="O56" si="6">SUM(O34:O55)</f>
        <v>101084</v>
      </c>
      <c r="P56" s="169">
        <f t="shared" ref="P56" si="7">SUM(P34:P55)</f>
        <v>116144.48999999999</v>
      </c>
    </row>
    <row r="57" spans="1:16" ht="15" customHeight="1">
      <c r="A57" s="57">
        <v>50</v>
      </c>
      <c r="B57" s="58" t="s">
        <v>46</v>
      </c>
      <c r="C57" s="167">
        <v>1520</v>
      </c>
      <c r="D57" s="167">
        <v>651.92999999999995</v>
      </c>
      <c r="E57" s="167">
        <v>22806</v>
      </c>
      <c r="F57" s="167">
        <v>8179.95</v>
      </c>
      <c r="G57" s="167">
        <v>543</v>
      </c>
      <c r="H57" s="167">
        <v>333.67</v>
      </c>
      <c r="I57" s="167">
        <v>1972</v>
      </c>
      <c r="J57" s="167">
        <v>572.37</v>
      </c>
      <c r="K57" s="167">
        <v>0</v>
      </c>
      <c r="L57" s="167">
        <v>0</v>
      </c>
      <c r="M57" s="167">
        <v>8441</v>
      </c>
      <c r="N57" s="167">
        <v>15928.71</v>
      </c>
      <c r="O57" s="167">
        <f t="shared" si="0"/>
        <v>35282</v>
      </c>
      <c r="P57" s="167">
        <f t="shared" si="1"/>
        <v>25666.629999999997</v>
      </c>
    </row>
    <row r="58" spans="1:16" ht="15" customHeight="1">
      <c r="A58" s="57">
        <v>51</v>
      </c>
      <c r="B58" s="58" t="s">
        <v>228</v>
      </c>
      <c r="C58" s="167">
        <v>121</v>
      </c>
      <c r="D58" s="167">
        <v>69</v>
      </c>
      <c r="E58" s="167">
        <v>11240</v>
      </c>
      <c r="F58" s="167">
        <v>4421</v>
      </c>
      <c r="G58" s="167">
        <v>0</v>
      </c>
      <c r="H58" s="167">
        <v>0</v>
      </c>
      <c r="I58" s="167">
        <v>865</v>
      </c>
      <c r="J58" s="167">
        <v>545</v>
      </c>
      <c r="K58" s="167">
        <v>0</v>
      </c>
      <c r="L58" s="167">
        <v>0</v>
      </c>
      <c r="M58" s="167">
        <v>26362</v>
      </c>
      <c r="N58" s="167">
        <v>7883</v>
      </c>
      <c r="O58" s="167">
        <f t="shared" si="0"/>
        <v>38588</v>
      </c>
      <c r="P58" s="167">
        <f t="shared" si="1"/>
        <v>12918</v>
      </c>
    </row>
    <row r="59" spans="1:16" ht="15" customHeight="1">
      <c r="A59" s="57">
        <v>52</v>
      </c>
      <c r="B59" s="58" t="s">
        <v>52</v>
      </c>
      <c r="C59" s="167">
        <v>2720</v>
      </c>
      <c r="D59" s="167">
        <v>1443.91</v>
      </c>
      <c r="E59" s="167">
        <v>12774</v>
      </c>
      <c r="F59" s="167">
        <v>15425.03</v>
      </c>
      <c r="G59" s="167">
        <v>5</v>
      </c>
      <c r="H59" s="167">
        <v>4.63</v>
      </c>
      <c r="I59" s="167">
        <v>1141</v>
      </c>
      <c r="J59" s="167">
        <v>1080.5899999999999</v>
      </c>
      <c r="K59" s="167">
        <v>4</v>
      </c>
      <c r="L59" s="167">
        <v>0.72</v>
      </c>
      <c r="M59" s="167">
        <v>309</v>
      </c>
      <c r="N59" s="167">
        <v>889.19</v>
      </c>
      <c r="O59" s="167">
        <f t="shared" si="0"/>
        <v>16953</v>
      </c>
      <c r="P59" s="167">
        <f t="shared" si="1"/>
        <v>18844.070000000003</v>
      </c>
    </row>
    <row r="60" spans="1:16" s="268" customFormat="1" ht="15" customHeight="1">
      <c r="A60" s="263" t="s">
        <v>345</v>
      </c>
      <c r="B60" s="264" t="s">
        <v>293</v>
      </c>
      <c r="C60" s="169">
        <f>SUM(C57:C59)</f>
        <v>4361</v>
      </c>
      <c r="D60" s="169">
        <f t="shared" ref="D60:N60" si="8">SUM(D57:D59)</f>
        <v>2164.84</v>
      </c>
      <c r="E60" s="169">
        <f t="shared" si="8"/>
        <v>46820</v>
      </c>
      <c r="F60" s="169">
        <f t="shared" si="8"/>
        <v>28025.980000000003</v>
      </c>
      <c r="G60" s="169">
        <f t="shared" si="8"/>
        <v>548</v>
      </c>
      <c r="H60" s="169">
        <f t="shared" si="8"/>
        <v>338.3</v>
      </c>
      <c r="I60" s="169">
        <f t="shared" si="8"/>
        <v>3978</v>
      </c>
      <c r="J60" s="169">
        <f t="shared" si="8"/>
        <v>2197.96</v>
      </c>
      <c r="K60" s="169">
        <f t="shared" si="8"/>
        <v>4</v>
      </c>
      <c r="L60" s="169">
        <f t="shared" si="8"/>
        <v>0.72</v>
      </c>
      <c r="M60" s="169">
        <f t="shared" si="8"/>
        <v>35112</v>
      </c>
      <c r="N60" s="169">
        <f t="shared" si="8"/>
        <v>24700.899999999998</v>
      </c>
      <c r="O60" s="169">
        <f t="shared" ref="O60" si="9">SUM(O57:O59)</f>
        <v>90823</v>
      </c>
      <c r="P60" s="169">
        <f t="shared" ref="P60" si="10">SUM(P57:P59)</f>
        <v>57428.7</v>
      </c>
    </row>
    <row r="61" spans="1:16" ht="15" customHeight="1">
      <c r="A61" s="260">
        <v>53</v>
      </c>
      <c r="B61" s="261" t="s">
        <v>288</v>
      </c>
      <c r="C61" s="167">
        <v>1098</v>
      </c>
      <c r="D61" s="167">
        <v>253</v>
      </c>
      <c r="E61" s="167">
        <v>45412</v>
      </c>
      <c r="F61" s="167">
        <v>23940</v>
      </c>
      <c r="G61" s="167">
        <v>1935</v>
      </c>
      <c r="H61" s="167">
        <v>608</v>
      </c>
      <c r="I61" s="167">
        <v>2095</v>
      </c>
      <c r="J61" s="167">
        <v>1367</v>
      </c>
      <c r="K61" s="167">
        <v>0</v>
      </c>
      <c r="L61" s="167">
        <v>0</v>
      </c>
      <c r="M61" s="167">
        <v>8185</v>
      </c>
      <c r="N61" s="167">
        <v>4011</v>
      </c>
      <c r="O61" s="167">
        <f t="shared" si="0"/>
        <v>58725</v>
      </c>
      <c r="P61" s="167">
        <f t="shared" si="1"/>
        <v>30179</v>
      </c>
    </row>
    <row r="62" spans="1:16" s="268" customFormat="1" ht="15" customHeight="1">
      <c r="A62" s="263" t="s">
        <v>345</v>
      </c>
      <c r="B62" s="264" t="s">
        <v>289</v>
      </c>
      <c r="C62" s="169">
        <f>C61</f>
        <v>1098</v>
      </c>
      <c r="D62" s="169">
        <f t="shared" ref="D62:N62" si="11">D61</f>
        <v>253</v>
      </c>
      <c r="E62" s="169">
        <f t="shared" si="11"/>
        <v>45412</v>
      </c>
      <c r="F62" s="169">
        <f t="shared" si="11"/>
        <v>23940</v>
      </c>
      <c r="G62" s="169">
        <f t="shared" si="11"/>
        <v>1935</v>
      </c>
      <c r="H62" s="169">
        <f t="shared" si="11"/>
        <v>608</v>
      </c>
      <c r="I62" s="169">
        <f t="shared" si="11"/>
        <v>2095</v>
      </c>
      <c r="J62" s="169">
        <f t="shared" si="11"/>
        <v>1367</v>
      </c>
      <c r="K62" s="169">
        <f t="shared" si="11"/>
        <v>0</v>
      </c>
      <c r="L62" s="169">
        <f t="shared" si="11"/>
        <v>0</v>
      </c>
      <c r="M62" s="169">
        <f t="shared" si="11"/>
        <v>8185</v>
      </c>
      <c r="N62" s="169">
        <f t="shared" si="11"/>
        <v>4011</v>
      </c>
      <c r="O62" s="169">
        <f t="shared" ref="O62" si="12">O61</f>
        <v>58725</v>
      </c>
      <c r="P62" s="169">
        <f t="shared" ref="P62" si="13">P61</f>
        <v>30179</v>
      </c>
    </row>
    <row r="63" spans="1:16" s="268" customFormat="1" ht="15" customHeight="1">
      <c r="A63" s="263" t="s">
        <v>345</v>
      </c>
      <c r="B63" s="264" t="s">
        <v>290</v>
      </c>
      <c r="C63" s="169">
        <f>C62+C60+C56+C33</f>
        <v>27423</v>
      </c>
      <c r="D63" s="169">
        <f t="shared" ref="D63:N63" si="14">D62+D60+D56+D33</f>
        <v>40042.010000000009</v>
      </c>
      <c r="E63" s="169">
        <f t="shared" si="14"/>
        <v>349213</v>
      </c>
      <c r="F63" s="169">
        <f t="shared" si="14"/>
        <v>414212.83999999997</v>
      </c>
      <c r="G63" s="169">
        <f t="shared" si="14"/>
        <v>6930</v>
      </c>
      <c r="H63" s="169">
        <f t="shared" si="14"/>
        <v>8103.380000000001</v>
      </c>
      <c r="I63" s="169">
        <f t="shared" si="14"/>
        <v>41778</v>
      </c>
      <c r="J63" s="169">
        <f t="shared" si="14"/>
        <v>164263.67999999999</v>
      </c>
      <c r="K63" s="169">
        <f t="shared" si="14"/>
        <v>548</v>
      </c>
      <c r="L63" s="169">
        <f t="shared" si="14"/>
        <v>3318.37</v>
      </c>
      <c r="M63" s="169">
        <f t="shared" si="14"/>
        <v>91472</v>
      </c>
      <c r="N63" s="169">
        <f t="shared" si="14"/>
        <v>232860.86</v>
      </c>
      <c r="O63" s="169">
        <f t="shared" ref="O63" si="15">O62+O60+O56+O33</f>
        <v>517364</v>
      </c>
      <c r="P63" s="169">
        <f t="shared" ref="P63" si="16">P62+P60+P56+P33</f>
        <v>862801.1399999999</v>
      </c>
    </row>
    <row r="65" spans="1:16" ht="15" customHeight="1">
      <c r="A65" s="669" t="s">
        <v>777</v>
      </c>
      <c r="B65" s="669"/>
      <c r="C65" s="669"/>
      <c r="D65" s="669"/>
      <c r="E65" s="669"/>
      <c r="F65" s="669"/>
      <c r="G65" s="669"/>
      <c r="H65" s="669"/>
      <c r="I65" s="669"/>
      <c r="J65" s="669"/>
      <c r="K65" s="669"/>
      <c r="L65" s="669"/>
      <c r="M65" s="669"/>
      <c r="N65" s="669"/>
      <c r="O65" s="669"/>
      <c r="P65" s="669"/>
    </row>
  </sheetData>
  <mergeCells count="13">
    <mergeCell ref="A65:P65"/>
    <mergeCell ref="K4:L4"/>
    <mergeCell ref="M4:N4"/>
    <mergeCell ref="O4:P4"/>
    <mergeCell ref="A1:P1"/>
    <mergeCell ref="B3:D3"/>
    <mergeCell ref="M3:N3"/>
    <mergeCell ref="A4:A5"/>
    <mergeCell ref="B4:B5"/>
    <mergeCell ref="C4:D4"/>
    <mergeCell ref="E4:F4"/>
    <mergeCell ref="G4:H4"/>
    <mergeCell ref="I4:J4"/>
  </mergeCells>
  <conditionalFormatting sqref="M3">
    <cfRule type="cellIs" dxfId="34" priority="7" operator="lessThan">
      <formula>0</formula>
    </cfRule>
  </conditionalFormatting>
  <conditionalFormatting sqref="B6">
    <cfRule type="duplicateValues" dxfId="33" priority="1"/>
  </conditionalFormatting>
  <conditionalFormatting sqref="B22">
    <cfRule type="duplicateValues" dxfId="32" priority="2"/>
  </conditionalFormatting>
  <conditionalFormatting sqref="B33:B34 B26:B30">
    <cfRule type="duplicateValues" dxfId="31" priority="3"/>
  </conditionalFormatting>
  <conditionalFormatting sqref="B52">
    <cfRule type="duplicateValues" dxfId="30" priority="4"/>
  </conditionalFormatting>
  <conditionalFormatting sqref="B56">
    <cfRule type="duplicateValues" dxfId="29" priority="5"/>
  </conditionalFormatting>
  <conditionalFormatting sqref="B58">
    <cfRule type="duplicateValues" dxfId="28" priority="6"/>
  </conditionalFormatting>
  <pageMargins left="0.2" right="0.2" top="0.5" bottom="0.5" header="0.3" footer="0.3"/>
  <pageSetup paperSize="9" scale="6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7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15" sqref="J15"/>
    </sheetView>
  </sheetViews>
  <sheetFormatPr defaultRowHeight="12.75"/>
  <cols>
    <col min="1" max="1" width="4.7109375" style="198" customWidth="1"/>
    <col min="2" max="2" width="24.42578125" style="198" bestFit="1" customWidth="1"/>
    <col min="3" max="3" width="9.42578125" style="200" bestFit="1" customWidth="1"/>
    <col min="4" max="4" width="9.140625" style="200" customWidth="1"/>
    <col min="5" max="5" width="9.42578125" style="200" bestFit="1" customWidth="1"/>
    <col min="6" max="6" width="11.5703125" style="200" bestFit="1" customWidth="1"/>
    <col min="7" max="7" width="9.42578125" style="200" bestFit="1" customWidth="1"/>
    <col min="8" max="8" width="10.5703125" style="200" bestFit="1" customWidth="1"/>
    <col min="9" max="9" width="9.42578125" style="200" bestFit="1" customWidth="1"/>
    <col min="10" max="10" width="9.28515625" style="200" customWidth="1"/>
    <col min="11" max="11" width="9.42578125" style="200" bestFit="1" customWidth="1"/>
    <col min="12" max="12" width="8.28515625" style="200" customWidth="1"/>
    <col min="13" max="13" width="9.42578125" style="200" bestFit="1" customWidth="1"/>
    <col min="14" max="14" width="9.140625" style="200" customWidth="1"/>
    <col min="15" max="15" width="9.42578125" style="200" bestFit="1" customWidth="1"/>
    <col min="16" max="16" width="9.85546875" style="200" customWidth="1"/>
    <col min="17" max="16384" width="9.140625" style="198"/>
  </cols>
  <sheetData>
    <row r="1" spans="1:16" ht="15.75" customHeight="1">
      <c r="A1" s="662" t="s">
        <v>1149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</row>
    <row r="2" spans="1:16" ht="14.25">
      <c r="A2" s="48" t="s">
        <v>117</v>
      </c>
      <c r="B2" s="48"/>
      <c r="C2" s="188"/>
      <c r="D2" s="188"/>
      <c r="E2" s="188"/>
      <c r="F2" s="188"/>
    </row>
    <row r="3" spans="1:16" ht="15" customHeight="1">
      <c r="A3" s="33"/>
      <c r="B3" s="581" t="s">
        <v>12</v>
      </c>
      <c r="C3" s="581"/>
      <c r="D3" s="581"/>
      <c r="M3" s="688" t="s">
        <v>182</v>
      </c>
      <c r="N3" s="688"/>
    </row>
    <row r="4" spans="1:16">
      <c r="A4" s="690" t="s">
        <v>230</v>
      </c>
      <c r="B4" s="690" t="s">
        <v>3</v>
      </c>
      <c r="C4" s="693" t="s">
        <v>27</v>
      </c>
      <c r="D4" s="694"/>
      <c r="E4" s="689" t="s">
        <v>179</v>
      </c>
      <c r="F4" s="689"/>
      <c r="G4" s="693" t="s">
        <v>28</v>
      </c>
      <c r="H4" s="694"/>
      <c r="I4" s="689" t="s">
        <v>26</v>
      </c>
      <c r="J4" s="689"/>
      <c r="K4" s="693" t="s">
        <v>180</v>
      </c>
      <c r="L4" s="694"/>
      <c r="M4" s="689" t="s">
        <v>29</v>
      </c>
      <c r="N4" s="689"/>
      <c r="O4" s="689" t="s">
        <v>0</v>
      </c>
      <c r="P4" s="689"/>
    </row>
    <row r="5" spans="1:16" ht="13.5">
      <c r="A5" s="691"/>
      <c r="B5" s="692"/>
      <c r="C5" s="266" t="s">
        <v>30</v>
      </c>
      <c r="D5" s="266" t="s">
        <v>17</v>
      </c>
      <c r="E5" s="266" t="s">
        <v>30</v>
      </c>
      <c r="F5" s="266" t="s">
        <v>17</v>
      </c>
      <c r="G5" s="266" t="s">
        <v>30</v>
      </c>
      <c r="H5" s="266" t="s">
        <v>17</v>
      </c>
      <c r="I5" s="266" t="s">
        <v>30</v>
      </c>
      <c r="J5" s="266" t="s">
        <v>17</v>
      </c>
      <c r="K5" s="266" t="s">
        <v>30</v>
      </c>
      <c r="L5" s="266" t="s">
        <v>17</v>
      </c>
      <c r="M5" s="266" t="s">
        <v>30</v>
      </c>
      <c r="N5" s="266" t="s">
        <v>17</v>
      </c>
      <c r="O5" s="267" t="s">
        <v>22</v>
      </c>
      <c r="P5" s="267" t="s">
        <v>23</v>
      </c>
    </row>
    <row r="6" spans="1:16" ht="15" customHeight="1">
      <c r="A6" s="275">
        <v>1</v>
      </c>
      <c r="B6" s="276" t="s">
        <v>55</v>
      </c>
      <c r="C6" s="277">
        <v>204</v>
      </c>
      <c r="D6" s="277">
        <v>1342</v>
      </c>
      <c r="E6" s="277">
        <v>555</v>
      </c>
      <c r="F6" s="277">
        <v>1758</v>
      </c>
      <c r="G6" s="278">
        <v>0</v>
      </c>
      <c r="H6" s="278">
        <v>0</v>
      </c>
      <c r="I6" s="278">
        <v>151</v>
      </c>
      <c r="J6" s="278">
        <v>1652</v>
      </c>
      <c r="K6" s="278">
        <v>0</v>
      </c>
      <c r="L6" s="278">
        <v>0</v>
      </c>
      <c r="M6" s="278">
        <v>81</v>
      </c>
      <c r="N6" s="278">
        <v>1485</v>
      </c>
      <c r="O6" s="278">
        <f>C6+E6+G6+I6+K6+M6</f>
        <v>991</v>
      </c>
      <c r="P6" s="278">
        <f>D6+F6+H6+J6+L6+N6</f>
        <v>6237</v>
      </c>
    </row>
    <row r="7" spans="1:16" ht="15" customHeight="1">
      <c r="A7" s="275">
        <v>2</v>
      </c>
      <c r="B7" s="276" t="s">
        <v>56</v>
      </c>
      <c r="C7" s="278">
        <v>14</v>
      </c>
      <c r="D7" s="278">
        <v>29.51</v>
      </c>
      <c r="E7" s="278">
        <v>137</v>
      </c>
      <c r="F7" s="278">
        <v>475.52</v>
      </c>
      <c r="G7" s="278">
        <v>0</v>
      </c>
      <c r="H7" s="278">
        <v>0</v>
      </c>
      <c r="I7" s="278">
        <v>42</v>
      </c>
      <c r="J7" s="278">
        <v>147.19999999999999</v>
      </c>
      <c r="K7" s="278">
        <v>0</v>
      </c>
      <c r="L7" s="278">
        <v>0</v>
      </c>
      <c r="M7" s="278">
        <v>31</v>
      </c>
      <c r="N7" s="278">
        <v>91.6</v>
      </c>
      <c r="O7" s="278">
        <f t="shared" ref="O7:O32" si="0">C7+E7+G7+I7+K7+M7</f>
        <v>224</v>
      </c>
      <c r="P7" s="278">
        <f t="shared" ref="P7:P32" si="1">D7+F7+H7+J7+L7+N7</f>
        <v>743.83</v>
      </c>
    </row>
    <row r="8" spans="1:16" ht="15" customHeight="1">
      <c r="A8" s="275">
        <v>3</v>
      </c>
      <c r="B8" s="276" t="s">
        <v>57</v>
      </c>
      <c r="C8" s="278">
        <v>28</v>
      </c>
      <c r="D8" s="278">
        <v>113</v>
      </c>
      <c r="E8" s="278">
        <v>145</v>
      </c>
      <c r="F8" s="278">
        <v>835</v>
      </c>
      <c r="G8" s="278">
        <v>1</v>
      </c>
      <c r="H8" s="278">
        <v>1</v>
      </c>
      <c r="I8" s="278">
        <v>42</v>
      </c>
      <c r="J8" s="278">
        <v>695</v>
      </c>
      <c r="K8" s="278">
        <v>1</v>
      </c>
      <c r="L8" s="278">
        <v>1</v>
      </c>
      <c r="M8" s="278">
        <v>139</v>
      </c>
      <c r="N8" s="278">
        <v>4695</v>
      </c>
      <c r="O8" s="278">
        <f t="shared" si="0"/>
        <v>356</v>
      </c>
      <c r="P8" s="278">
        <f t="shared" si="1"/>
        <v>6340</v>
      </c>
    </row>
    <row r="9" spans="1:16" ht="15" customHeight="1">
      <c r="A9" s="275">
        <v>4</v>
      </c>
      <c r="B9" s="276" t="s">
        <v>58</v>
      </c>
      <c r="C9" s="278">
        <v>327</v>
      </c>
      <c r="D9" s="278">
        <v>967</v>
      </c>
      <c r="E9" s="278">
        <v>11855</v>
      </c>
      <c r="F9" s="278">
        <v>24685</v>
      </c>
      <c r="G9" s="278">
        <v>11</v>
      </c>
      <c r="H9" s="278">
        <v>44</v>
      </c>
      <c r="I9" s="278">
        <v>542</v>
      </c>
      <c r="J9" s="278">
        <v>24377</v>
      </c>
      <c r="K9" s="278">
        <v>1</v>
      </c>
      <c r="L9" s="278">
        <v>6</v>
      </c>
      <c r="M9" s="278">
        <v>160</v>
      </c>
      <c r="N9" s="278">
        <v>1383</v>
      </c>
      <c r="O9" s="278">
        <f t="shared" si="0"/>
        <v>12896</v>
      </c>
      <c r="P9" s="278">
        <f t="shared" si="1"/>
        <v>51462</v>
      </c>
    </row>
    <row r="10" spans="1:16" ht="15" customHeight="1">
      <c r="A10" s="275">
        <v>5</v>
      </c>
      <c r="B10" s="276" t="s">
        <v>59</v>
      </c>
      <c r="C10" s="278">
        <v>0</v>
      </c>
      <c r="D10" s="278">
        <v>0</v>
      </c>
      <c r="E10" s="278">
        <v>0</v>
      </c>
      <c r="F10" s="278">
        <v>0</v>
      </c>
      <c r="G10" s="278">
        <v>0</v>
      </c>
      <c r="H10" s="278">
        <v>0</v>
      </c>
      <c r="I10" s="278">
        <v>0</v>
      </c>
      <c r="J10" s="278">
        <v>0</v>
      </c>
      <c r="K10" s="278">
        <v>0</v>
      </c>
      <c r="L10" s="278">
        <v>0</v>
      </c>
      <c r="M10" s="278">
        <v>0</v>
      </c>
      <c r="N10" s="278">
        <v>0</v>
      </c>
      <c r="O10" s="278">
        <f t="shared" si="0"/>
        <v>0</v>
      </c>
      <c r="P10" s="278">
        <f t="shared" si="1"/>
        <v>0</v>
      </c>
    </row>
    <row r="11" spans="1:16" ht="15" customHeight="1">
      <c r="A11" s="275">
        <v>6</v>
      </c>
      <c r="B11" s="279" t="s">
        <v>241</v>
      </c>
      <c r="C11" s="278">
        <v>0</v>
      </c>
      <c r="D11" s="278">
        <v>0</v>
      </c>
      <c r="E11" s="278">
        <v>0</v>
      </c>
      <c r="F11" s="278">
        <v>0</v>
      </c>
      <c r="G11" s="278">
        <v>0</v>
      </c>
      <c r="H11" s="278">
        <v>0</v>
      </c>
      <c r="I11" s="278">
        <v>0</v>
      </c>
      <c r="J11" s="278">
        <v>0</v>
      </c>
      <c r="K11" s="278">
        <v>0</v>
      </c>
      <c r="L11" s="278">
        <v>0</v>
      </c>
      <c r="M11" s="278">
        <v>0</v>
      </c>
      <c r="N11" s="278">
        <v>0</v>
      </c>
      <c r="O11" s="278">
        <f t="shared" si="0"/>
        <v>0</v>
      </c>
      <c r="P11" s="278">
        <f t="shared" si="1"/>
        <v>0</v>
      </c>
    </row>
    <row r="12" spans="1:16" ht="15" customHeight="1">
      <c r="A12" s="275">
        <v>7</v>
      </c>
      <c r="B12" s="276" t="s">
        <v>60</v>
      </c>
      <c r="C12" s="278">
        <v>0</v>
      </c>
      <c r="D12" s="278">
        <v>0</v>
      </c>
      <c r="E12" s="278">
        <v>0</v>
      </c>
      <c r="F12" s="278">
        <v>0</v>
      </c>
      <c r="G12" s="278">
        <v>0</v>
      </c>
      <c r="H12" s="278">
        <v>0</v>
      </c>
      <c r="I12" s="278">
        <v>0</v>
      </c>
      <c r="J12" s="278">
        <v>0</v>
      </c>
      <c r="K12" s="278">
        <v>0</v>
      </c>
      <c r="L12" s="278">
        <v>0</v>
      </c>
      <c r="M12" s="278">
        <v>0</v>
      </c>
      <c r="N12" s="278">
        <v>0</v>
      </c>
      <c r="O12" s="278">
        <f t="shared" si="0"/>
        <v>0</v>
      </c>
      <c r="P12" s="278">
        <f t="shared" si="1"/>
        <v>0</v>
      </c>
    </row>
    <row r="13" spans="1:16" ht="15" customHeight="1">
      <c r="A13" s="275">
        <v>8</v>
      </c>
      <c r="B13" s="276" t="s">
        <v>61</v>
      </c>
      <c r="C13" s="278">
        <v>92</v>
      </c>
      <c r="D13" s="278">
        <v>44</v>
      </c>
      <c r="E13" s="278">
        <v>3387</v>
      </c>
      <c r="F13" s="278">
        <v>651</v>
      </c>
      <c r="G13" s="278">
        <v>0</v>
      </c>
      <c r="H13" s="278">
        <v>0</v>
      </c>
      <c r="I13" s="278">
        <v>715</v>
      </c>
      <c r="J13" s="278">
        <v>348</v>
      </c>
      <c r="K13" s="278">
        <v>3</v>
      </c>
      <c r="L13" s="278">
        <v>10</v>
      </c>
      <c r="M13" s="278">
        <v>83</v>
      </c>
      <c r="N13" s="278">
        <v>1609</v>
      </c>
      <c r="O13" s="278">
        <f t="shared" si="0"/>
        <v>4280</v>
      </c>
      <c r="P13" s="278">
        <f t="shared" si="1"/>
        <v>2662</v>
      </c>
    </row>
    <row r="14" spans="1:16" ht="15" customHeight="1">
      <c r="A14" s="275">
        <v>9</v>
      </c>
      <c r="B14" s="276" t="s">
        <v>48</v>
      </c>
      <c r="C14" s="278">
        <v>124</v>
      </c>
      <c r="D14" s="278">
        <v>486.18</v>
      </c>
      <c r="E14" s="278">
        <v>1165</v>
      </c>
      <c r="F14" s="278">
        <v>4014.82</v>
      </c>
      <c r="G14" s="278">
        <v>19</v>
      </c>
      <c r="H14" s="278">
        <v>109.92</v>
      </c>
      <c r="I14" s="278">
        <v>172</v>
      </c>
      <c r="J14" s="278">
        <v>1154.44</v>
      </c>
      <c r="K14" s="278">
        <v>0</v>
      </c>
      <c r="L14" s="278">
        <v>0</v>
      </c>
      <c r="M14" s="278">
        <v>650</v>
      </c>
      <c r="N14" s="278">
        <v>5154.28</v>
      </c>
      <c r="O14" s="278">
        <f t="shared" si="0"/>
        <v>2130</v>
      </c>
      <c r="P14" s="278">
        <f t="shared" si="1"/>
        <v>10919.64</v>
      </c>
    </row>
    <row r="15" spans="1:16" ht="15" customHeight="1">
      <c r="A15" s="275">
        <v>10</v>
      </c>
      <c r="B15" s="276" t="s">
        <v>49</v>
      </c>
      <c r="C15" s="278">
        <v>2</v>
      </c>
      <c r="D15" s="278">
        <v>7</v>
      </c>
      <c r="E15" s="278">
        <v>96</v>
      </c>
      <c r="F15" s="278">
        <v>315</v>
      </c>
      <c r="G15" s="278">
        <v>0</v>
      </c>
      <c r="H15" s="278">
        <v>0</v>
      </c>
      <c r="I15" s="278">
        <v>19</v>
      </c>
      <c r="J15" s="278">
        <v>147</v>
      </c>
      <c r="K15" s="278">
        <v>1</v>
      </c>
      <c r="L15" s="278">
        <v>7</v>
      </c>
      <c r="M15" s="278">
        <v>42</v>
      </c>
      <c r="N15" s="278">
        <v>158</v>
      </c>
      <c r="O15" s="278">
        <f t="shared" si="0"/>
        <v>160</v>
      </c>
      <c r="P15" s="278">
        <f t="shared" si="1"/>
        <v>634</v>
      </c>
    </row>
    <row r="16" spans="1:16" ht="15" customHeight="1">
      <c r="A16" s="275">
        <v>11</v>
      </c>
      <c r="B16" s="276" t="s">
        <v>81</v>
      </c>
      <c r="C16" s="278">
        <v>42</v>
      </c>
      <c r="D16" s="278">
        <v>230</v>
      </c>
      <c r="E16" s="278">
        <v>4142</v>
      </c>
      <c r="F16" s="278">
        <v>2951</v>
      </c>
      <c r="G16" s="278">
        <v>1</v>
      </c>
      <c r="H16" s="278">
        <v>1</v>
      </c>
      <c r="I16" s="278">
        <v>123</v>
      </c>
      <c r="J16" s="278">
        <v>3149</v>
      </c>
      <c r="K16" s="278">
        <v>0</v>
      </c>
      <c r="L16" s="278">
        <v>0</v>
      </c>
      <c r="M16" s="278">
        <v>348</v>
      </c>
      <c r="N16" s="278">
        <v>4643</v>
      </c>
      <c r="O16" s="278">
        <f t="shared" si="0"/>
        <v>4656</v>
      </c>
      <c r="P16" s="278">
        <f t="shared" si="1"/>
        <v>10974</v>
      </c>
    </row>
    <row r="17" spans="1:16" ht="15" customHeight="1">
      <c r="A17" s="275">
        <v>12</v>
      </c>
      <c r="B17" s="276" t="s">
        <v>62</v>
      </c>
      <c r="C17" s="278">
        <v>70</v>
      </c>
      <c r="D17" s="278">
        <v>86.3</v>
      </c>
      <c r="E17" s="278">
        <v>94</v>
      </c>
      <c r="F17" s="278">
        <v>235</v>
      </c>
      <c r="G17" s="278">
        <v>0</v>
      </c>
      <c r="H17" s="278">
        <v>0</v>
      </c>
      <c r="I17" s="278">
        <v>58</v>
      </c>
      <c r="J17" s="278">
        <v>70.599999999999994</v>
      </c>
      <c r="K17" s="278">
        <v>0</v>
      </c>
      <c r="L17" s="278">
        <v>0</v>
      </c>
      <c r="M17" s="278">
        <v>0</v>
      </c>
      <c r="N17" s="278">
        <v>0</v>
      </c>
      <c r="O17" s="278">
        <f t="shared" si="0"/>
        <v>222</v>
      </c>
      <c r="P17" s="278">
        <f t="shared" si="1"/>
        <v>391.9</v>
      </c>
    </row>
    <row r="18" spans="1:16" ht="15" customHeight="1">
      <c r="A18" s="275">
        <v>13</v>
      </c>
      <c r="B18" s="276" t="s">
        <v>63</v>
      </c>
      <c r="C18" s="278">
        <v>2</v>
      </c>
      <c r="D18" s="278">
        <v>9.5</v>
      </c>
      <c r="E18" s="278">
        <v>1</v>
      </c>
      <c r="F18" s="278">
        <v>0.5</v>
      </c>
      <c r="G18" s="278">
        <v>0</v>
      </c>
      <c r="H18" s="278">
        <v>0</v>
      </c>
      <c r="I18" s="278">
        <v>2</v>
      </c>
      <c r="J18" s="278">
        <v>18.95</v>
      </c>
      <c r="K18" s="278">
        <v>0</v>
      </c>
      <c r="L18" s="278">
        <v>0</v>
      </c>
      <c r="M18" s="278">
        <v>0</v>
      </c>
      <c r="N18" s="278">
        <v>0</v>
      </c>
      <c r="O18" s="278">
        <f t="shared" si="0"/>
        <v>5</v>
      </c>
      <c r="P18" s="278">
        <f t="shared" si="1"/>
        <v>28.95</v>
      </c>
    </row>
    <row r="19" spans="1:16" ht="15" customHeight="1">
      <c r="A19" s="275">
        <v>14</v>
      </c>
      <c r="B19" s="280" t="s">
        <v>206</v>
      </c>
      <c r="C19" s="278">
        <v>19</v>
      </c>
      <c r="D19" s="278">
        <v>78.02</v>
      </c>
      <c r="E19" s="278">
        <v>293</v>
      </c>
      <c r="F19" s="278">
        <v>683.47</v>
      </c>
      <c r="G19" s="278">
        <v>0</v>
      </c>
      <c r="H19" s="278">
        <v>0</v>
      </c>
      <c r="I19" s="278">
        <v>38</v>
      </c>
      <c r="J19" s="278">
        <v>224.25</v>
      </c>
      <c r="K19" s="278">
        <v>0</v>
      </c>
      <c r="L19" s="278">
        <v>0</v>
      </c>
      <c r="M19" s="278">
        <v>17</v>
      </c>
      <c r="N19" s="278">
        <v>150.32</v>
      </c>
      <c r="O19" s="278">
        <f t="shared" si="0"/>
        <v>367</v>
      </c>
      <c r="P19" s="278">
        <f t="shared" si="1"/>
        <v>1136.06</v>
      </c>
    </row>
    <row r="20" spans="1:16" ht="15" customHeight="1">
      <c r="A20" s="275">
        <v>15</v>
      </c>
      <c r="B20" s="276" t="s">
        <v>207</v>
      </c>
      <c r="C20" s="278">
        <v>0</v>
      </c>
      <c r="D20" s="278">
        <v>0</v>
      </c>
      <c r="E20" s="278">
        <v>26</v>
      </c>
      <c r="F20" s="278">
        <v>102.7</v>
      </c>
      <c r="G20" s="278">
        <v>0</v>
      </c>
      <c r="H20" s="278">
        <v>0</v>
      </c>
      <c r="I20" s="278">
        <v>32</v>
      </c>
      <c r="J20" s="278">
        <v>187</v>
      </c>
      <c r="K20" s="278">
        <v>0</v>
      </c>
      <c r="L20" s="278">
        <v>0</v>
      </c>
      <c r="M20" s="278">
        <v>0</v>
      </c>
      <c r="N20" s="278">
        <v>0</v>
      </c>
      <c r="O20" s="278">
        <f t="shared" si="0"/>
        <v>58</v>
      </c>
      <c r="P20" s="278">
        <f t="shared" si="1"/>
        <v>289.7</v>
      </c>
    </row>
    <row r="21" spans="1:16" ht="15" customHeight="1">
      <c r="A21" s="275">
        <v>16</v>
      </c>
      <c r="B21" s="276" t="s">
        <v>64</v>
      </c>
      <c r="C21" s="278">
        <v>211</v>
      </c>
      <c r="D21" s="278">
        <v>735</v>
      </c>
      <c r="E21" s="278">
        <v>2910</v>
      </c>
      <c r="F21" s="278">
        <v>9826</v>
      </c>
      <c r="G21" s="278">
        <v>17</v>
      </c>
      <c r="H21" s="278">
        <v>31</v>
      </c>
      <c r="I21" s="278">
        <v>465</v>
      </c>
      <c r="J21" s="278">
        <v>6140</v>
      </c>
      <c r="K21" s="278">
        <v>4</v>
      </c>
      <c r="L21" s="278">
        <v>2</v>
      </c>
      <c r="M21" s="278">
        <v>732</v>
      </c>
      <c r="N21" s="278">
        <v>7160</v>
      </c>
      <c r="O21" s="278">
        <f t="shared" si="0"/>
        <v>4339</v>
      </c>
      <c r="P21" s="278">
        <f t="shared" si="1"/>
        <v>23894</v>
      </c>
    </row>
    <row r="22" spans="1:16" ht="15" customHeight="1">
      <c r="A22" s="275">
        <v>17</v>
      </c>
      <c r="B22" s="280" t="s">
        <v>69</v>
      </c>
      <c r="C22" s="278">
        <v>0</v>
      </c>
      <c r="D22" s="278">
        <v>0</v>
      </c>
      <c r="E22" s="278">
        <v>0</v>
      </c>
      <c r="F22" s="278">
        <v>0</v>
      </c>
      <c r="G22" s="278">
        <v>0</v>
      </c>
      <c r="H22" s="278">
        <v>0</v>
      </c>
      <c r="I22" s="278">
        <v>0</v>
      </c>
      <c r="J22" s="278">
        <v>0</v>
      </c>
      <c r="K22" s="278">
        <v>0</v>
      </c>
      <c r="L22" s="278">
        <v>0</v>
      </c>
      <c r="M22" s="278">
        <v>0</v>
      </c>
      <c r="N22" s="278">
        <v>0</v>
      </c>
      <c r="O22" s="278">
        <f t="shared" si="0"/>
        <v>0</v>
      </c>
      <c r="P22" s="278">
        <f t="shared" si="1"/>
        <v>0</v>
      </c>
    </row>
    <row r="23" spans="1:16" ht="15" customHeight="1">
      <c r="A23" s="275">
        <v>18</v>
      </c>
      <c r="B23" s="276" t="s">
        <v>208</v>
      </c>
      <c r="C23" s="278">
        <v>0</v>
      </c>
      <c r="D23" s="278">
        <v>0</v>
      </c>
      <c r="E23" s="278">
        <v>0</v>
      </c>
      <c r="F23" s="278">
        <v>0</v>
      </c>
      <c r="G23" s="278">
        <v>0</v>
      </c>
      <c r="H23" s="278">
        <v>0</v>
      </c>
      <c r="I23" s="278">
        <v>0</v>
      </c>
      <c r="J23" s="278">
        <v>0</v>
      </c>
      <c r="K23" s="278">
        <v>0</v>
      </c>
      <c r="L23" s="278">
        <v>0</v>
      </c>
      <c r="M23" s="278">
        <v>0</v>
      </c>
      <c r="N23" s="278">
        <v>0</v>
      </c>
      <c r="O23" s="278">
        <f t="shared" si="0"/>
        <v>0</v>
      </c>
      <c r="P23" s="278">
        <f t="shared" si="1"/>
        <v>0</v>
      </c>
    </row>
    <row r="24" spans="1:16" ht="15" customHeight="1">
      <c r="A24" s="275">
        <v>19</v>
      </c>
      <c r="B24" s="281" t="s">
        <v>209</v>
      </c>
      <c r="C24" s="278">
        <v>2</v>
      </c>
      <c r="D24" s="278">
        <v>20</v>
      </c>
      <c r="E24" s="278">
        <v>42</v>
      </c>
      <c r="F24" s="278">
        <v>40</v>
      </c>
      <c r="G24" s="278">
        <v>0</v>
      </c>
      <c r="H24" s="278">
        <v>0</v>
      </c>
      <c r="I24" s="278">
        <v>1</v>
      </c>
      <c r="J24" s="278">
        <v>10</v>
      </c>
      <c r="K24" s="278">
        <v>0</v>
      </c>
      <c r="L24" s="278">
        <v>0</v>
      </c>
      <c r="M24" s="278">
        <v>32</v>
      </c>
      <c r="N24" s="278">
        <v>50</v>
      </c>
      <c r="O24" s="278">
        <f t="shared" si="0"/>
        <v>77</v>
      </c>
      <c r="P24" s="278">
        <f t="shared" si="1"/>
        <v>120</v>
      </c>
    </row>
    <row r="25" spans="1:16" ht="15" customHeight="1">
      <c r="A25" s="275">
        <v>20</v>
      </c>
      <c r="B25" s="276" t="s">
        <v>210</v>
      </c>
      <c r="C25" s="278">
        <v>0</v>
      </c>
      <c r="D25" s="278">
        <v>0</v>
      </c>
      <c r="E25" s="278">
        <v>0</v>
      </c>
      <c r="F25" s="278">
        <v>0</v>
      </c>
      <c r="G25" s="278">
        <v>0</v>
      </c>
      <c r="H25" s="278">
        <v>0</v>
      </c>
      <c r="I25" s="278">
        <v>0</v>
      </c>
      <c r="J25" s="278">
        <v>0</v>
      </c>
      <c r="K25" s="278">
        <v>0</v>
      </c>
      <c r="L25" s="278">
        <v>0</v>
      </c>
      <c r="M25" s="278">
        <v>0</v>
      </c>
      <c r="N25" s="278">
        <v>0</v>
      </c>
      <c r="O25" s="278">
        <f t="shared" si="0"/>
        <v>0</v>
      </c>
      <c r="P25" s="278">
        <f t="shared" si="1"/>
        <v>0</v>
      </c>
    </row>
    <row r="26" spans="1:16" ht="15" customHeight="1">
      <c r="A26" s="275">
        <v>21</v>
      </c>
      <c r="B26" s="276" t="s">
        <v>211</v>
      </c>
      <c r="C26" s="278">
        <v>0</v>
      </c>
      <c r="D26" s="278">
        <v>0</v>
      </c>
      <c r="E26" s="278">
        <v>0</v>
      </c>
      <c r="F26" s="278">
        <v>0</v>
      </c>
      <c r="G26" s="278">
        <v>0</v>
      </c>
      <c r="H26" s="278">
        <v>0</v>
      </c>
      <c r="I26" s="278">
        <v>0</v>
      </c>
      <c r="J26" s="278">
        <v>0</v>
      </c>
      <c r="K26" s="278">
        <v>0</v>
      </c>
      <c r="L26" s="278">
        <v>0</v>
      </c>
      <c r="M26" s="278">
        <v>0</v>
      </c>
      <c r="N26" s="278">
        <v>0</v>
      </c>
      <c r="O26" s="278">
        <f t="shared" si="0"/>
        <v>0</v>
      </c>
      <c r="P26" s="278">
        <f t="shared" si="1"/>
        <v>0</v>
      </c>
    </row>
    <row r="27" spans="1:16" ht="15" customHeight="1">
      <c r="A27" s="275">
        <v>22</v>
      </c>
      <c r="B27" s="276" t="s">
        <v>70</v>
      </c>
      <c r="C27" s="278">
        <v>861</v>
      </c>
      <c r="D27" s="278">
        <v>1446</v>
      </c>
      <c r="E27" s="278">
        <v>1957</v>
      </c>
      <c r="F27" s="278">
        <v>3092</v>
      </c>
      <c r="G27" s="278">
        <v>79</v>
      </c>
      <c r="H27" s="278">
        <v>297</v>
      </c>
      <c r="I27" s="278">
        <v>532</v>
      </c>
      <c r="J27" s="278">
        <v>882</v>
      </c>
      <c r="K27" s="278">
        <v>43</v>
      </c>
      <c r="L27" s="278">
        <v>117</v>
      </c>
      <c r="M27" s="278">
        <v>971</v>
      </c>
      <c r="N27" s="278">
        <v>2311</v>
      </c>
      <c r="O27" s="278">
        <f t="shared" si="0"/>
        <v>4443</v>
      </c>
      <c r="P27" s="278">
        <f t="shared" si="1"/>
        <v>8145</v>
      </c>
    </row>
    <row r="28" spans="1:16" ht="15" customHeight="1">
      <c r="A28" s="275">
        <v>23</v>
      </c>
      <c r="B28" s="276" t="s">
        <v>65</v>
      </c>
      <c r="C28" s="278">
        <v>30</v>
      </c>
      <c r="D28" s="278">
        <v>78</v>
      </c>
      <c r="E28" s="278">
        <v>733</v>
      </c>
      <c r="F28" s="278">
        <v>2178</v>
      </c>
      <c r="G28" s="278">
        <v>3</v>
      </c>
      <c r="H28" s="278">
        <v>19</v>
      </c>
      <c r="I28" s="278">
        <v>28</v>
      </c>
      <c r="J28" s="278">
        <v>550</v>
      </c>
      <c r="K28" s="278">
        <v>0</v>
      </c>
      <c r="L28" s="278">
        <v>0</v>
      </c>
      <c r="M28" s="278">
        <v>110</v>
      </c>
      <c r="N28" s="278">
        <v>774</v>
      </c>
      <c r="O28" s="278">
        <f t="shared" si="0"/>
        <v>904</v>
      </c>
      <c r="P28" s="278">
        <f t="shared" si="1"/>
        <v>3599</v>
      </c>
    </row>
    <row r="29" spans="1:16" ht="15" customHeight="1">
      <c r="A29" s="275">
        <v>24</v>
      </c>
      <c r="B29" s="276" t="s">
        <v>212</v>
      </c>
      <c r="C29" s="278">
        <v>0</v>
      </c>
      <c r="D29" s="278">
        <v>0</v>
      </c>
      <c r="E29" s="278">
        <v>0</v>
      </c>
      <c r="F29" s="278">
        <v>0</v>
      </c>
      <c r="G29" s="278">
        <v>0</v>
      </c>
      <c r="H29" s="278">
        <v>0</v>
      </c>
      <c r="I29" s="278">
        <v>0</v>
      </c>
      <c r="J29" s="278">
        <v>0</v>
      </c>
      <c r="K29" s="278">
        <v>0</v>
      </c>
      <c r="L29" s="278">
        <v>0</v>
      </c>
      <c r="M29" s="278">
        <v>0</v>
      </c>
      <c r="N29" s="278">
        <v>0</v>
      </c>
      <c r="O29" s="278">
        <f t="shared" si="0"/>
        <v>0</v>
      </c>
      <c r="P29" s="278">
        <f t="shared" si="1"/>
        <v>0</v>
      </c>
    </row>
    <row r="30" spans="1:16" ht="15" customHeight="1">
      <c r="A30" s="275">
        <v>25</v>
      </c>
      <c r="B30" s="276" t="s">
        <v>66</v>
      </c>
      <c r="C30" s="278">
        <v>182</v>
      </c>
      <c r="D30" s="278">
        <v>682</v>
      </c>
      <c r="E30" s="278">
        <v>2582</v>
      </c>
      <c r="F30" s="278">
        <v>7934</v>
      </c>
      <c r="G30" s="278">
        <v>21</v>
      </c>
      <c r="H30" s="278">
        <v>32</v>
      </c>
      <c r="I30" s="278">
        <v>263</v>
      </c>
      <c r="J30" s="278">
        <v>5345</v>
      </c>
      <c r="K30" s="278">
        <v>2</v>
      </c>
      <c r="L30" s="278">
        <v>5</v>
      </c>
      <c r="M30" s="278">
        <v>487</v>
      </c>
      <c r="N30" s="278">
        <v>4725</v>
      </c>
      <c r="O30" s="278">
        <f t="shared" si="0"/>
        <v>3537</v>
      </c>
      <c r="P30" s="278">
        <f t="shared" si="1"/>
        <v>18723</v>
      </c>
    </row>
    <row r="31" spans="1:16" ht="15" customHeight="1">
      <c r="A31" s="275">
        <v>26</v>
      </c>
      <c r="B31" s="279" t="s">
        <v>67</v>
      </c>
      <c r="C31" s="278">
        <v>2</v>
      </c>
      <c r="D31" s="278">
        <v>4</v>
      </c>
      <c r="E31" s="278">
        <v>20</v>
      </c>
      <c r="F31" s="278">
        <v>40</v>
      </c>
      <c r="G31" s="278">
        <v>0</v>
      </c>
      <c r="H31" s="278">
        <v>0</v>
      </c>
      <c r="I31" s="278">
        <v>3</v>
      </c>
      <c r="J31" s="278">
        <v>7</v>
      </c>
      <c r="K31" s="278">
        <v>0</v>
      </c>
      <c r="L31" s="278">
        <v>0</v>
      </c>
      <c r="M31" s="278">
        <v>0</v>
      </c>
      <c r="N31" s="278">
        <v>0</v>
      </c>
      <c r="O31" s="278">
        <f t="shared" si="0"/>
        <v>25</v>
      </c>
      <c r="P31" s="278">
        <f t="shared" si="1"/>
        <v>51</v>
      </c>
    </row>
    <row r="32" spans="1:16" ht="15" customHeight="1">
      <c r="A32" s="275">
        <v>27</v>
      </c>
      <c r="B32" s="276" t="s">
        <v>50</v>
      </c>
      <c r="C32" s="278">
        <v>156</v>
      </c>
      <c r="D32" s="278">
        <v>522</v>
      </c>
      <c r="E32" s="278">
        <v>912</v>
      </c>
      <c r="F32" s="278">
        <v>2046</v>
      </c>
      <c r="G32" s="278">
        <v>5</v>
      </c>
      <c r="H32" s="278">
        <v>0.68</v>
      </c>
      <c r="I32" s="278">
        <v>241</v>
      </c>
      <c r="J32" s="278">
        <v>1290</v>
      </c>
      <c r="K32" s="278">
        <v>1</v>
      </c>
      <c r="L32" s="278">
        <v>1.56</v>
      </c>
      <c r="M32" s="278">
        <v>549</v>
      </c>
      <c r="N32" s="278">
        <v>7274</v>
      </c>
      <c r="O32" s="278">
        <f t="shared" si="0"/>
        <v>1864</v>
      </c>
      <c r="P32" s="278">
        <f t="shared" si="1"/>
        <v>11134.24</v>
      </c>
    </row>
    <row r="33" spans="1:16" s="268" customFormat="1" ht="15" customHeight="1">
      <c r="A33" s="284" t="s">
        <v>345</v>
      </c>
      <c r="B33" s="285" t="s">
        <v>286</v>
      </c>
      <c r="C33" s="282">
        <f>SUM(C6:C32)</f>
        <v>2368</v>
      </c>
      <c r="D33" s="282">
        <f t="shared" ref="D33:N33" si="2">SUM(D6:D32)</f>
        <v>6879.51</v>
      </c>
      <c r="E33" s="282">
        <f t="shared" si="2"/>
        <v>31052</v>
      </c>
      <c r="F33" s="282">
        <f t="shared" si="2"/>
        <v>61863.009999999995</v>
      </c>
      <c r="G33" s="282">
        <f t="shared" si="2"/>
        <v>157</v>
      </c>
      <c r="H33" s="282">
        <f t="shared" si="2"/>
        <v>535.6</v>
      </c>
      <c r="I33" s="282">
        <f t="shared" si="2"/>
        <v>3469</v>
      </c>
      <c r="J33" s="282">
        <f t="shared" si="2"/>
        <v>46394.44</v>
      </c>
      <c r="K33" s="282">
        <f t="shared" si="2"/>
        <v>56</v>
      </c>
      <c r="L33" s="282">
        <f t="shared" si="2"/>
        <v>149.56</v>
      </c>
      <c r="M33" s="282">
        <f t="shared" si="2"/>
        <v>4432</v>
      </c>
      <c r="N33" s="282">
        <f t="shared" si="2"/>
        <v>41663.199999999997</v>
      </c>
      <c r="O33" s="282">
        <f t="shared" ref="O33" si="3">SUM(O6:O32)</f>
        <v>41534</v>
      </c>
      <c r="P33" s="282">
        <f t="shared" ref="P33" si="4">SUM(P6:P32)</f>
        <v>157485.31999999998</v>
      </c>
    </row>
    <row r="34" spans="1:16" ht="15" customHeight="1">
      <c r="A34" s="275">
        <v>28</v>
      </c>
      <c r="B34" s="276" t="s">
        <v>47</v>
      </c>
      <c r="C34" s="278">
        <v>41</v>
      </c>
      <c r="D34" s="278">
        <v>137.33000000000001</v>
      </c>
      <c r="E34" s="278">
        <v>1416</v>
      </c>
      <c r="F34" s="278">
        <v>2376.73</v>
      </c>
      <c r="G34" s="278">
        <v>0</v>
      </c>
      <c r="H34" s="278">
        <v>0</v>
      </c>
      <c r="I34" s="278">
        <v>166</v>
      </c>
      <c r="J34" s="278">
        <v>1966.53</v>
      </c>
      <c r="K34" s="278">
        <v>0</v>
      </c>
      <c r="L34" s="278">
        <v>0</v>
      </c>
      <c r="M34" s="278">
        <v>0</v>
      </c>
      <c r="N34" s="278">
        <v>0</v>
      </c>
      <c r="O34" s="278">
        <f t="shared" ref="O34:O61" si="5">C34+E34+G34+I34+K34+M34</f>
        <v>1623</v>
      </c>
      <c r="P34" s="278">
        <f t="shared" ref="P34:P61" si="6">D34+F34+H34+J34+L34+N34</f>
        <v>4480.59</v>
      </c>
    </row>
    <row r="35" spans="1:16" ht="15" customHeight="1">
      <c r="A35" s="275">
        <v>29</v>
      </c>
      <c r="B35" s="276" t="s">
        <v>214</v>
      </c>
      <c r="C35" s="278">
        <v>224</v>
      </c>
      <c r="D35" s="278">
        <v>72.44</v>
      </c>
      <c r="E35" s="278">
        <v>52229</v>
      </c>
      <c r="F35" s="278">
        <v>16404.55</v>
      </c>
      <c r="G35" s="278">
        <v>11</v>
      </c>
      <c r="H35" s="278">
        <v>2.0699999999999998</v>
      </c>
      <c r="I35" s="278">
        <v>113</v>
      </c>
      <c r="J35" s="278">
        <v>37.76</v>
      </c>
      <c r="K35" s="278">
        <v>1</v>
      </c>
      <c r="L35" s="278">
        <v>0.67</v>
      </c>
      <c r="M35" s="278">
        <v>48</v>
      </c>
      <c r="N35" s="278">
        <v>23.02</v>
      </c>
      <c r="O35" s="278">
        <f t="shared" si="5"/>
        <v>52626</v>
      </c>
      <c r="P35" s="278">
        <f t="shared" si="6"/>
        <v>16540.509999999995</v>
      </c>
    </row>
    <row r="36" spans="1:16" ht="15" customHeight="1">
      <c r="A36" s="275">
        <v>30</v>
      </c>
      <c r="B36" s="276" t="s">
        <v>215</v>
      </c>
      <c r="C36" s="278">
        <v>0</v>
      </c>
      <c r="D36" s="278">
        <v>0</v>
      </c>
      <c r="E36" s="278">
        <v>0</v>
      </c>
      <c r="F36" s="278">
        <v>0</v>
      </c>
      <c r="G36" s="278">
        <v>0</v>
      </c>
      <c r="H36" s="278">
        <v>0</v>
      </c>
      <c r="I36" s="278">
        <v>0</v>
      </c>
      <c r="J36" s="278">
        <v>0</v>
      </c>
      <c r="K36" s="278">
        <v>0</v>
      </c>
      <c r="L36" s="278">
        <v>0</v>
      </c>
      <c r="M36" s="278">
        <v>0</v>
      </c>
      <c r="N36" s="278">
        <v>0</v>
      </c>
      <c r="O36" s="278">
        <f t="shared" si="5"/>
        <v>0</v>
      </c>
      <c r="P36" s="278">
        <f t="shared" si="6"/>
        <v>0</v>
      </c>
    </row>
    <row r="37" spans="1:16" ht="15" customHeight="1">
      <c r="A37" s="275">
        <v>31</v>
      </c>
      <c r="B37" s="276" t="s">
        <v>78</v>
      </c>
      <c r="C37" s="278">
        <v>0</v>
      </c>
      <c r="D37" s="278">
        <v>0</v>
      </c>
      <c r="E37" s="278">
        <v>0</v>
      </c>
      <c r="F37" s="278">
        <v>0</v>
      </c>
      <c r="G37" s="278">
        <v>0</v>
      </c>
      <c r="H37" s="278">
        <v>0</v>
      </c>
      <c r="I37" s="278">
        <v>0</v>
      </c>
      <c r="J37" s="278">
        <v>0</v>
      </c>
      <c r="K37" s="278">
        <v>0</v>
      </c>
      <c r="L37" s="278">
        <v>0</v>
      </c>
      <c r="M37" s="278">
        <v>0</v>
      </c>
      <c r="N37" s="278">
        <v>0</v>
      </c>
      <c r="O37" s="278">
        <f t="shared" si="5"/>
        <v>0</v>
      </c>
      <c r="P37" s="278">
        <f t="shared" si="6"/>
        <v>0</v>
      </c>
    </row>
    <row r="38" spans="1:16" ht="15" customHeight="1">
      <c r="A38" s="275">
        <v>32</v>
      </c>
      <c r="B38" s="276" t="s">
        <v>51</v>
      </c>
      <c r="C38" s="278">
        <v>0</v>
      </c>
      <c r="D38" s="278">
        <v>0</v>
      </c>
      <c r="E38" s="278">
        <v>0</v>
      </c>
      <c r="F38" s="278">
        <v>0</v>
      </c>
      <c r="G38" s="278">
        <v>0</v>
      </c>
      <c r="H38" s="278">
        <v>0</v>
      </c>
      <c r="I38" s="278">
        <v>0</v>
      </c>
      <c r="J38" s="278">
        <v>0</v>
      </c>
      <c r="K38" s="278">
        <v>0</v>
      </c>
      <c r="L38" s="278">
        <v>0</v>
      </c>
      <c r="M38" s="278">
        <v>0</v>
      </c>
      <c r="N38" s="278">
        <v>0</v>
      </c>
      <c r="O38" s="278">
        <f t="shared" si="5"/>
        <v>0</v>
      </c>
      <c r="P38" s="278">
        <f t="shared" si="6"/>
        <v>0</v>
      </c>
    </row>
    <row r="39" spans="1:16" ht="15" customHeight="1">
      <c r="A39" s="275">
        <v>33</v>
      </c>
      <c r="B39" s="276" t="s">
        <v>216</v>
      </c>
      <c r="C39" s="278">
        <v>2</v>
      </c>
      <c r="D39" s="278">
        <v>5.2</v>
      </c>
      <c r="E39" s="278">
        <v>318</v>
      </c>
      <c r="F39" s="278">
        <v>580</v>
      </c>
      <c r="G39" s="278">
        <v>0</v>
      </c>
      <c r="H39" s="278">
        <v>0</v>
      </c>
      <c r="I39" s="278">
        <v>6</v>
      </c>
      <c r="J39" s="278">
        <v>38.03</v>
      </c>
      <c r="K39" s="278">
        <v>0</v>
      </c>
      <c r="L39" s="278">
        <v>0</v>
      </c>
      <c r="M39" s="278">
        <v>32</v>
      </c>
      <c r="N39" s="278">
        <v>495.66</v>
      </c>
      <c r="O39" s="278">
        <f t="shared" si="5"/>
        <v>358</v>
      </c>
      <c r="P39" s="278">
        <f t="shared" si="6"/>
        <v>1118.8900000000001</v>
      </c>
    </row>
    <row r="40" spans="1:16" ht="15" customHeight="1">
      <c r="A40" s="275">
        <v>34</v>
      </c>
      <c r="B40" s="276" t="s">
        <v>217</v>
      </c>
      <c r="C40" s="278">
        <v>0</v>
      </c>
      <c r="D40" s="278">
        <v>0</v>
      </c>
      <c r="E40" s="278">
        <v>0</v>
      </c>
      <c r="F40" s="278">
        <v>0</v>
      </c>
      <c r="G40" s="278">
        <v>0</v>
      </c>
      <c r="H40" s="278">
        <v>0</v>
      </c>
      <c r="I40" s="278">
        <v>0</v>
      </c>
      <c r="J40" s="278">
        <v>0</v>
      </c>
      <c r="K40" s="278">
        <v>0</v>
      </c>
      <c r="L40" s="278">
        <v>0</v>
      </c>
      <c r="M40" s="278">
        <v>0</v>
      </c>
      <c r="N40" s="278">
        <v>0</v>
      </c>
      <c r="O40" s="278">
        <f t="shared" si="5"/>
        <v>0</v>
      </c>
      <c r="P40" s="278">
        <f t="shared" si="6"/>
        <v>0</v>
      </c>
    </row>
    <row r="41" spans="1:16" ht="15" customHeight="1">
      <c r="A41" s="275">
        <v>35</v>
      </c>
      <c r="B41" s="276" t="s">
        <v>218</v>
      </c>
      <c r="C41" s="278">
        <v>63</v>
      </c>
      <c r="D41" s="278">
        <v>571</v>
      </c>
      <c r="E41" s="278">
        <v>85</v>
      </c>
      <c r="F41" s="278">
        <v>212</v>
      </c>
      <c r="G41" s="278">
        <v>0</v>
      </c>
      <c r="H41" s="278">
        <v>0</v>
      </c>
      <c r="I41" s="278">
        <v>17</v>
      </c>
      <c r="J41" s="278">
        <v>45</v>
      </c>
      <c r="K41" s="278">
        <v>2</v>
      </c>
      <c r="L41" s="278">
        <v>6</v>
      </c>
      <c r="M41" s="278">
        <v>0</v>
      </c>
      <c r="N41" s="278">
        <v>0</v>
      </c>
      <c r="O41" s="278">
        <f t="shared" si="5"/>
        <v>167</v>
      </c>
      <c r="P41" s="278">
        <f t="shared" si="6"/>
        <v>834</v>
      </c>
    </row>
    <row r="42" spans="1:16" ht="15" customHeight="1">
      <c r="A42" s="275">
        <v>36</v>
      </c>
      <c r="B42" s="276" t="s">
        <v>71</v>
      </c>
      <c r="C42" s="278">
        <v>113</v>
      </c>
      <c r="D42" s="278">
        <v>110</v>
      </c>
      <c r="E42" s="278">
        <v>7481</v>
      </c>
      <c r="F42" s="278">
        <v>6991</v>
      </c>
      <c r="G42" s="278">
        <v>20</v>
      </c>
      <c r="H42" s="278">
        <v>5</v>
      </c>
      <c r="I42" s="278">
        <v>346</v>
      </c>
      <c r="J42" s="278">
        <v>1423</v>
      </c>
      <c r="K42" s="278">
        <v>1</v>
      </c>
      <c r="L42" s="278">
        <v>0</v>
      </c>
      <c r="M42" s="278">
        <v>84</v>
      </c>
      <c r="N42" s="278">
        <v>219</v>
      </c>
      <c r="O42" s="278">
        <f t="shared" si="5"/>
        <v>8045</v>
      </c>
      <c r="P42" s="278">
        <f t="shared" si="6"/>
        <v>8748</v>
      </c>
    </row>
    <row r="43" spans="1:16" ht="15" customHeight="1">
      <c r="A43" s="275">
        <v>37</v>
      </c>
      <c r="B43" s="276" t="s">
        <v>72</v>
      </c>
      <c r="C43" s="278">
        <v>143</v>
      </c>
      <c r="D43" s="278">
        <v>486</v>
      </c>
      <c r="E43" s="278">
        <v>4934</v>
      </c>
      <c r="F43" s="278">
        <v>10547</v>
      </c>
      <c r="G43" s="278">
        <v>27</v>
      </c>
      <c r="H43" s="278">
        <v>132</v>
      </c>
      <c r="I43" s="278">
        <v>564</v>
      </c>
      <c r="J43" s="278">
        <v>3950</v>
      </c>
      <c r="K43" s="278">
        <v>158</v>
      </c>
      <c r="L43" s="278">
        <v>214</v>
      </c>
      <c r="M43" s="278">
        <v>140</v>
      </c>
      <c r="N43" s="278">
        <v>1814</v>
      </c>
      <c r="O43" s="278">
        <f t="shared" si="5"/>
        <v>5966</v>
      </c>
      <c r="P43" s="278">
        <f t="shared" si="6"/>
        <v>17143</v>
      </c>
    </row>
    <row r="44" spans="1:16" ht="15" customHeight="1">
      <c r="A44" s="275">
        <v>38</v>
      </c>
      <c r="B44" s="276" t="s">
        <v>219</v>
      </c>
      <c r="C44" s="278">
        <v>2</v>
      </c>
      <c r="D44" s="278">
        <v>1</v>
      </c>
      <c r="E44" s="278">
        <v>501</v>
      </c>
      <c r="F44" s="278">
        <v>274</v>
      </c>
      <c r="G44" s="278">
        <v>0</v>
      </c>
      <c r="H44" s="278">
        <v>0</v>
      </c>
      <c r="I44" s="278">
        <v>10</v>
      </c>
      <c r="J44" s="278">
        <v>6</v>
      </c>
      <c r="K44" s="278">
        <v>0</v>
      </c>
      <c r="L44" s="278">
        <v>0</v>
      </c>
      <c r="M44" s="278">
        <v>29</v>
      </c>
      <c r="N44" s="278">
        <v>18</v>
      </c>
      <c r="O44" s="278">
        <f t="shared" si="5"/>
        <v>542</v>
      </c>
      <c r="P44" s="278">
        <f t="shared" si="6"/>
        <v>299</v>
      </c>
    </row>
    <row r="45" spans="1:16" ht="15" customHeight="1">
      <c r="A45" s="275">
        <v>39</v>
      </c>
      <c r="B45" s="276" t="s">
        <v>220</v>
      </c>
      <c r="C45" s="278">
        <v>71</v>
      </c>
      <c r="D45" s="278">
        <v>118.17</v>
      </c>
      <c r="E45" s="278">
        <v>4867</v>
      </c>
      <c r="F45" s="278">
        <v>9697.17</v>
      </c>
      <c r="G45" s="278">
        <v>4</v>
      </c>
      <c r="H45" s="278">
        <v>0.61</v>
      </c>
      <c r="I45" s="278">
        <v>194</v>
      </c>
      <c r="J45" s="278">
        <v>763.4</v>
      </c>
      <c r="K45" s="278">
        <v>1</v>
      </c>
      <c r="L45" s="278">
        <v>0.31</v>
      </c>
      <c r="M45" s="278">
        <v>544</v>
      </c>
      <c r="N45" s="278">
        <v>1744.01</v>
      </c>
      <c r="O45" s="278">
        <f t="shared" si="5"/>
        <v>5681</v>
      </c>
      <c r="P45" s="278">
        <f t="shared" si="6"/>
        <v>12323.67</v>
      </c>
    </row>
    <row r="46" spans="1:16" ht="15" customHeight="1">
      <c r="A46" s="275">
        <v>40</v>
      </c>
      <c r="B46" s="276" t="s">
        <v>221</v>
      </c>
      <c r="C46" s="278">
        <v>0</v>
      </c>
      <c r="D46" s="278">
        <v>0</v>
      </c>
      <c r="E46" s="278">
        <v>0</v>
      </c>
      <c r="F46" s="278">
        <v>0</v>
      </c>
      <c r="G46" s="278">
        <v>0</v>
      </c>
      <c r="H46" s="278">
        <v>0</v>
      </c>
      <c r="I46" s="278">
        <v>0</v>
      </c>
      <c r="J46" s="278">
        <v>0</v>
      </c>
      <c r="K46" s="278">
        <v>0</v>
      </c>
      <c r="L46" s="278">
        <v>0</v>
      </c>
      <c r="M46" s="278">
        <v>0</v>
      </c>
      <c r="N46" s="278">
        <v>0</v>
      </c>
      <c r="O46" s="278">
        <f t="shared" si="5"/>
        <v>0</v>
      </c>
      <c r="P46" s="278">
        <f t="shared" si="6"/>
        <v>0</v>
      </c>
    </row>
    <row r="47" spans="1:16" ht="15" customHeight="1">
      <c r="A47" s="275">
        <v>41</v>
      </c>
      <c r="B47" s="276" t="s">
        <v>222</v>
      </c>
      <c r="C47" s="278">
        <v>0</v>
      </c>
      <c r="D47" s="278">
        <v>0</v>
      </c>
      <c r="E47" s="278">
        <v>0</v>
      </c>
      <c r="F47" s="278">
        <v>0</v>
      </c>
      <c r="G47" s="278">
        <v>0</v>
      </c>
      <c r="H47" s="278">
        <v>0</v>
      </c>
      <c r="I47" s="278">
        <v>0</v>
      </c>
      <c r="J47" s="278">
        <v>0</v>
      </c>
      <c r="K47" s="278">
        <v>0</v>
      </c>
      <c r="L47" s="278">
        <v>0</v>
      </c>
      <c r="M47" s="278">
        <v>0</v>
      </c>
      <c r="N47" s="278">
        <v>0</v>
      </c>
      <c r="O47" s="278">
        <f t="shared" si="5"/>
        <v>0</v>
      </c>
      <c r="P47" s="278">
        <f t="shared" si="6"/>
        <v>0</v>
      </c>
    </row>
    <row r="48" spans="1:16" ht="15" customHeight="1">
      <c r="A48" s="275">
        <v>42</v>
      </c>
      <c r="B48" s="276" t="s">
        <v>223</v>
      </c>
      <c r="C48" s="278">
        <v>0</v>
      </c>
      <c r="D48" s="278">
        <v>0</v>
      </c>
      <c r="E48" s="278">
        <v>0</v>
      </c>
      <c r="F48" s="278">
        <v>0</v>
      </c>
      <c r="G48" s="278">
        <v>0</v>
      </c>
      <c r="H48" s="278">
        <v>0</v>
      </c>
      <c r="I48" s="278">
        <v>0</v>
      </c>
      <c r="J48" s="278">
        <v>0</v>
      </c>
      <c r="K48" s="278">
        <v>0</v>
      </c>
      <c r="L48" s="278">
        <v>0</v>
      </c>
      <c r="M48" s="278">
        <v>0</v>
      </c>
      <c r="N48" s="278">
        <v>0</v>
      </c>
      <c r="O48" s="278">
        <f t="shared" si="5"/>
        <v>0</v>
      </c>
      <c r="P48" s="278">
        <f t="shared" si="6"/>
        <v>0</v>
      </c>
    </row>
    <row r="49" spans="1:16" ht="15" customHeight="1">
      <c r="A49" s="275">
        <v>43</v>
      </c>
      <c r="B49" s="276" t="s">
        <v>73</v>
      </c>
      <c r="C49" s="278">
        <v>11</v>
      </c>
      <c r="D49" s="278">
        <v>17</v>
      </c>
      <c r="E49" s="278">
        <v>382</v>
      </c>
      <c r="F49" s="278">
        <v>1404</v>
      </c>
      <c r="G49" s="278">
        <v>2</v>
      </c>
      <c r="H49" s="278">
        <v>5</v>
      </c>
      <c r="I49" s="278">
        <v>98</v>
      </c>
      <c r="J49" s="278">
        <v>405</v>
      </c>
      <c r="K49" s="278">
        <v>0</v>
      </c>
      <c r="L49" s="278">
        <v>0</v>
      </c>
      <c r="M49" s="278">
        <v>28</v>
      </c>
      <c r="N49" s="278">
        <v>358</v>
      </c>
      <c r="O49" s="278">
        <f t="shared" si="5"/>
        <v>521</v>
      </c>
      <c r="P49" s="278">
        <f t="shared" si="6"/>
        <v>2189</v>
      </c>
    </row>
    <row r="50" spans="1:16" ht="15" customHeight="1">
      <c r="A50" s="275">
        <v>44</v>
      </c>
      <c r="B50" s="276" t="s">
        <v>224</v>
      </c>
      <c r="C50" s="278">
        <v>0</v>
      </c>
      <c r="D50" s="278">
        <v>0</v>
      </c>
      <c r="E50" s="278">
        <v>1</v>
      </c>
      <c r="F50" s="278">
        <v>21.83</v>
      </c>
      <c r="G50" s="278">
        <v>0</v>
      </c>
      <c r="H50" s="278">
        <v>0</v>
      </c>
      <c r="I50" s="278">
        <v>0</v>
      </c>
      <c r="J50" s="278">
        <v>0</v>
      </c>
      <c r="K50" s="278">
        <v>0</v>
      </c>
      <c r="L50" s="278">
        <v>0</v>
      </c>
      <c r="M50" s="278">
        <v>0</v>
      </c>
      <c r="N50" s="278">
        <v>0</v>
      </c>
      <c r="O50" s="278">
        <f t="shared" si="5"/>
        <v>1</v>
      </c>
      <c r="P50" s="278">
        <f t="shared" si="6"/>
        <v>21.83</v>
      </c>
    </row>
    <row r="51" spans="1:16" ht="15" customHeight="1">
      <c r="A51" s="275">
        <v>45</v>
      </c>
      <c r="B51" s="276" t="s">
        <v>225</v>
      </c>
      <c r="C51" s="278">
        <v>2</v>
      </c>
      <c r="D51" s="278">
        <v>1</v>
      </c>
      <c r="E51" s="278">
        <v>2234</v>
      </c>
      <c r="F51" s="278">
        <v>555</v>
      </c>
      <c r="G51" s="278">
        <v>1</v>
      </c>
      <c r="H51" s="278">
        <v>2</v>
      </c>
      <c r="I51" s="278">
        <v>7</v>
      </c>
      <c r="J51" s="278">
        <v>2</v>
      </c>
      <c r="K51" s="278">
        <v>0</v>
      </c>
      <c r="L51" s="278">
        <v>0</v>
      </c>
      <c r="M51" s="278">
        <v>12</v>
      </c>
      <c r="N51" s="278">
        <v>2</v>
      </c>
      <c r="O51" s="278">
        <f t="shared" si="5"/>
        <v>2256</v>
      </c>
      <c r="P51" s="278">
        <f t="shared" si="6"/>
        <v>562</v>
      </c>
    </row>
    <row r="52" spans="1:16" ht="15" customHeight="1">
      <c r="A52" s="275">
        <v>46</v>
      </c>
      <c r="B52" s="276" t="s">
        <v>226</v>
      </c>
      <c r="C52" s="278">
        <v>0</v>
      </c>
      <c r="D52" s="278">
        <v>0</v>
      </c>
      <c r="E52" s="278">
        <v>0</v>
      </c>
      <c r="F52" s="278">
        <v>0</v>
      </c>
      <c r="G52" s="278">
        <v>0</v>
      </c>
      <c r="H52" s="278">
        <v>0</v>
      </c>
      <c r="I52" s="278">
        <v>0</v>
      </c>
      <c r="J52" s="278">
        <v>0</v>
      </c>
      <c r="K52" s="278">
        <v>0</v>
      </c>
      <c r="L52" s="278">
        <v>0</v>
      </c>
      <c r="M52" s="278">
        <v>0</v>
      </c>
      <c r="N52" s="278">
        <v>0</v>
      </c>
      <c r="O52" s="278">
        <f t="shared" si="5"/>
        <v>0</v>
      </c>
      <c r="P52" s="278">
        <f t="shared" si="6"/>
        <v>0</v>
      </c>
    </row>
    <row r="53" spans="1:16" ht="15" customHeight="1">
      <c r="A53" s="275">
        <v>47</v>
      </c>
      <c r="B53" s="276" t="s">
        <v>77</v>
      </c>
      <c r="C53" s="278">
        <v>0</v>
      </c>
      <c r="D53" s="278">
        <v>0</v>
      </c>
      <c r="E53" s="278">
        <v>0</v>
      </c>
      <c r="F53" s="278">
        <v>0</v>
      </c>
      <c r="G53" s="278">
        <v>0</v>
      </c>
      <c r="H53" s="278">
        <v>0</v>
      </c>
      <c r="I53" s="278">
        <v>0</v>
      </c>
      <c r="J53" s="278">
        <v>0</v>
      </c>
      <c r="K53" s="278">
        <v>0</v>
      </c>
      <c r="L53" s="278">
        <v>0</v>
      </c>
      <c r="M53" s="278">
        <v>0</v>
      </c>
      <c r="N53" s="278">
        <v>0</v>
      </c>
      <c r="O53" s="278">
        <f t="shared" si="5"/>
        <v>0</v>
      </c>
      <c r="P53" s="278">
        <f t="shared" si="6"/>
        <v>0</v>
      </c>
    </row>
    <row r="54" spans="1:16" ht="15" customHeight="1">
      <c r="A54" s="275">
        <v>48</v>
      </c>
      <c r="B54" s="276" t="s">
        <v>227</v>
      </c>
      <c r="C54" s="278">
        <v>0</v>
      </c>
      <c r="D54" s="278">
        <v>0</v>
      </c>
      <c r="E54" s="278">
        <v>0</v>
      </c>
      <c r="F54" s="278">
        <v>0</v>
      </c>
      <c r="G54" s="278">
        <v>0</v>
      </c>
      <c r="H54" s="278">
        <v>0</v>
      </c>
      <c r="I54" s="278">
        <v>0</v>
      </c>
      <c r="J54" s="278">
        <v>0</v>
      </c>
      <c r="K54" s="278">
        <v>0</v>
      </c>
      <c r="L54" s="278">
        <v>0</v>
      </c>
      <c r="M54" s="278">
        <v>0</v>
      </c>
      <c r="N54" s="278">
        <v>0</v>
      </c>
      <c r="O54" s="278">
        <f t="shared" si="5"/>
        <v>0</v>
      </c>
      <c r="P54" s="278">
        <f t="shared" si="6"/>
        <v>0</v>
      </c>
    </row>
    <row r="55" spans="1:16" ht="15" customHeight="1">
      <c r="A55" s="275">
        <v>49</v>
      </c>
      <c r="B55" s="276" t="s">
        <v>76</v>
      </c>
      <c r="C55" s="278">
        <v>0</v>
      </c>
      <c r="D55" s="278">
        <v>0</v>
      </c>
      <c r="E55" s="278">
        <v>0</v>
      </c>
      <c r="F55" s="278">
        <v>0</v>
      </c>
      <c r="G55" s="278">
        <v>0</v>
      </c>
      <c r="H55" s="278">
        <v>0</v>
      </c>
      <c r="I55" s="278">
        <v>0</v>
      </c>
      <c r="J55" s="278">
        <v>0</v>
      </c>
      <c r="K55" s="278">
        <v>0</v>
      </c>
      <c r="L55" s="278">
        <v>0</v>
      </c>
      <c r="M55" s="278">
        <v>10</v>
      </c>
      <c r="N55" s="278">
        <v>1000</v>
      </c>
      <c r="O55" s="278">
        <f t="shared" si="5"/>
        <v>10</v>
      </c>
      <c r="P55" s="278">
        <f t="shared" si="6"/>
        <v>1000</v>
      </c>
    </row>
    <row r="56" spans="1:16" s="268" customFormat="1" ht="15" customHeight="1">
      <c r="A56" s="284" t="s">
        <v>345</v>
      </c>
      <c r="B56" s="285" t="s">
        <v>287</v>
      </c>
      <c r="C56" s="282">
        <f>SUM(C34:C55)</f>
        <v>672</v>
      </c>
      <c r="D56" s="282">
        <f t="shared" ref="D56:N56" si="7">SUM(D34:D55)</f>
        <v>1519.14</v>
      </c>
      <c r="E56" s="282">
        <f t="shared" si="7"/>
        <v>74448</v>
      </c>
      <c r="F56" s="282">
        <f t="shared" si="7"/>
        <v>49063.28</v>
      </c>
      <c r="G56" s="282">
        <f t="shared" si="7"/>
        <v>65</v>
      </c>
      <c r="H56" s="282">
        <f t="shared" si="7"/>
        <v>146.68</v>
      </c>
      <c r="I56" s="282">
        <f t="shared" si="7"/>
        <v>1521</v>
      </c>
      <c r="J56" s="282">
        <f t="shared" si="7"/>
        <v>8636.7199999999993</v>
      </c>
      <c r="K56" s="282">
        <f t="shared" si="7"/>
        <v>163</v>
      </c>
      <c r="L56" s="282">
        <f t="shared" si="7"/>
        <v>220.98</v>
      </c>
      <c r="M56" s="282">
        <f t="shared" si="7"/>
        <v>927</v>
      </c>
      <c r="N56" s="282">
        <f t="shared" si="7"/>
        <v>5673.6900000000005</v>
      </c>
      <c r="O56" s="282">
        <f t="shared" ref="O56" si="8">SUM(O34:O55)</f>
        <v>77796</v>
      </c>
      <c r="P56" s="282">
        <f t="shared" ref="P56" si="9">SUM(P34:P55)</f>
        <v>65260.489999999991</v>
      </c>
    </row>
    <row r="57" spans="1:16" ht="15" customHeight="1">
      <c r="A57" s="275">
        <v>50</v>
      </c>
      <c r="B57" s="276" t="s">
        <v>46</v>
      </c>
      <c r="C57" s="278">
        <v>294</v>
      </c>
      <c r="D57" s="278">
        <v>194.26</v>
      </c>
      <c r="E57" s="278">
        <v>4182</v>
      </c>
      <c r="F57" s="278">
        <v>243.58</v>
      </c>
      <c r="G57" s="278">
        <v>142</v>
      </c>
      <c r="H57" s="278">
        <v>136.97</v>
      </c>
      <c r="I57" s="278">
        <v>44</v>
      </c>
      <c r="J57" s="278">
        <v>72.91</v>
      </c>
      <c r="K57" s="278">
        <v>0</v>
      </c>
      <c r="L57" s="278">
        <v>0</v>
      </c>
      <c r="M57" s="278">
        <v>2531</v>
      </c>
      <c r="N57" s="278">
        <v>6156.15</v>
      </c>
      <c r="O57" s="278">
        <f t="shared" si="5"/>
        <v>7193</v>
      </c>
      <c r="P57" s="278">
        <f t="shared" si="6"/>
        <v>6803.87</v>
      </c>
    </row>
    <row r="58" spans="1:16" ht="15" customHeight="1">
      <c r="A58" s="275">
        <v>51</v>
      </c>
      <c r="B58" s="276" t="s">
        <v>228</v>
      </c>
      <c r="C58" s="278">
        <v>0</v>
      </c>
      <c r="D58" s="278">
        <v>0</v>
      </c>
      <c r="E58" s="278">
        <v>207</v>
      </c>
      <c r="F58" s="278">
        <v>76</v>
      </c>
      <c r="G58" s="278">
        <v>0</v>
      </c>
      <c r="H58" s="278">
        <v>0</v>
      </c>
      <c r="I58" s="278">
        <v>26</v>
      </c>
      <c r="J58" s="278">
        <v>50</v>
      </c>
      <c r="K58" s="278">
        <v>0</v>
      </c>
      <c r="L58" s="278">
        <v>0</v>
      </c>
      <c r="M58" s="278">
        <v>1634</v>
      </c>
      <c r="N58" s="278">
        <v>612</v>
      </c>
      <c r="O58" s="278">
        <f t="shared" si="5"/>
        <v>1867</v>
      </c>
      <c r="P58" s="278">
        <f t="shared" si="6"/>
        <v>738</v>
      </c>
    </row>
    <row r="59" spans="1:16" ht="15" customHeight="1">
      <c r="A59" s="287">
        <v>52</v>
      </c>
      <c r="B59" s="283" t="s">
        <v>52</v>
      </c>
      <c r="C59" s="278">
        <v>0</v>
      </c>
      <c r="D59" s="278">
        <v>0</v>
      </c>
      <c r="E59" s="278">
        <v>58</v>
      </c>
      <c r="F59" s="278">
        <v>11.6</v>
      </c>
      <c r="G59" s="278">
        <v>0</v>
      </c>
      <c r="H59" s="278">
        <v>0</v>
      </c>
      <c r="I59" s="278">
        <v>0</v>
      </c>
      <c r="J59" s="278">
        <v>0</v>
      </c>
      <c r="K59" s="278">
        <v>0</v>
      </c>
      <c r="L59" s="278">
        <v>0</v>
      </c>
      <c r="M59" s="278">
        <v>37</v>
      </c>
      <c r="N59" s="278">
        <v>28.12</v>
      </c>
      <c r="O59" s="278">
        <f t="shared" si="5"/>
        <v>95</v>
      </c>
      <c r="P59" s="278">
        <f t="shared" si="6"/>
        <v>39.72</v>
      </c>
    </row>
    <row r="60" spans="1:16" s="268" customFormat="1" ht="15" customHeight="1">
      <c r="A60" s="288"/>
      <c r="B60" s="286" t="s">
        <v>293</v>
      </c>
      <c r="C60" s="282">
        <f>SUM(C57:C59)</f>
        <v>294</v>
      </c>
      <c r="D60" s="282">
        <f t="shared" ref="D60:N60" si="10">SUM(D57:D59)</f>
        <v>194.26</v>
      </c>
      <c r="E60" s="282">
        <f t="shared" si="10"/>
        <v>4447</v>
      </c>
      <c r="F60" s="282">
        <f t="shared" si="10"/>
        <v>331.18000000000006</v>
      </c>
      <c r="G60" s="282">
        <f t="shared" si="10"/>
        <v>142</v>
      </c>
      <c r="H60" s="282">
        <f t="shared" si="10"/>
        <v>136.97</v>
      </c>
      <c r="I60" s="282">
        <f t="shared" si="10"/>
        <v>70</v>
      </c>
      <c r="J60" s="282">
        <f t="shared" si="10"/>
        <v>122.91</v>
      </c>
      <c r="K60" s="282">
        <f t="shared" si="10"/>
        <v>0</v>
      </c>
      <c r="L60" s="282">
        <f t="shared" si="10"/>
        <v>0</v>
      </c>
      <c r="M60" s="282">
        <f t="shared" si="10"/>
        <v>4202</v>
      </c>
      <c r="N60" s="282">
        <f t="shared" si="10"/>
        <v>6796.2699999999995</v>
      </c>
      <c r="O60" s="282">
        <f t="shared" ref="O60" si="11">SUM(O57:O59)</f>
        <v>9155</v>
      </c>
      <c r="P60" s="282">
        <f t="shared" ref="P60" si="12">SUM(P57:P59)</f>
        <v>7581.59</v>
      </c>
    </row>
    <row r="61" spans="1:16" ht="15" customHeight="1">
      <c r="A61" s="287">
        <v>53</v>
      </c>
      <c r="B61" s="283" t="s">
        <v>288</v>
      </c>
      <c r="C61" s="278">
        <v>1418</v>
      </c>
      <c r="D61" s="278">
        <v>428</v>
      </c>
      <c r="E61" s="278">
        <v>63985</v>
      </c>
      <c r="F61" s="278">
        <v>34829</v>
      </c>
      <c r="G61" s="278">
        <v>3036</v>
      </c>
      <c r="H61" s="278">
        <v>877</v>
      </c>
      <c r="I61" s="278">
        <v>3370</v>
      </c>
      <c r="J61" s="278">
        <v>2200</v>
      </c>
      <c r="K61" s="278">
        <v>0</v>
      </c>
      <c r="L61" s="278">
        <v>0</v>
      </c>
      <c r="M61" s="278">
        <v>11529</v>
      </c>
      <c r="N61" s="278">
        <v>5731</v>
      </c>
      <c r="O61" s="278">
        <f t="shared" si="5"/>
        <v>83338</v>
      </c>
      <c r="P61" s="278">
        <f t="shared" si="6"/>
        <v>44065</v>
      </c>
    </row>
    <row r="62" spans="1:16" s="268" customFormat="1" ht="15" customHeight="1">
      <c r="A62" s="288" t="s">
        <v>345</v>
      </c>
      <c r="B62" s="286" t="s">
        <v>289</v>
      </c>
      <c r="C62" s="282">
        <f>C61</f>
        <v>1418</v>
      </c>
      <c r="D62" s="282">
        <f t="shared" ref="D62:N62" si="13">D61</f>
        <v>428</v>
      </c>
      <c r="E62" s="282">
        <f t="shared" si="13"/>
        <v>63985</v>
      </c>
      <c r="F62" s="282">
        <f t="shared" si="13"/>
        <v>34829</v>
      </c>
      <c r="G62" s="282">
        <f t="shared" si="13"/>
        <v>3036</v>
      </c>
      <c r="H62" s="282">
        <f t="shared" si="13"/>
        <v>877</v>
      </c>
      <c r="I62" s="282">
        <f t="shared" si="13"/>
        <v>3370</v>
      </c>
      <c r="J62" s="282">
        <f t="shared" si="13"/>
        <v>2200</v>
      </c>
      <c r="K62" s="282">
        <f t="shared" si="13"/>
        <v>0</v>
      </c>
      <c r="L62" s="282">
        <f t="shared" si="13"/>
        <v>0</v>
      </c>
      <c r="M62" s="282">
        <f t="shared" si="13"/>
        <v>11529</v>
      </c>
      <c r="N62" s="282">
        <f t="shared" si="13"/>
        <v>5731</v>
      </c>
      <c r="O62" s="282">
        <f t="shared" ref="O62" si="14">O61</f>
        <v>83338</v>
      </c>
      <c r="P62" s="282">
        <f t="shared" ref="P62" si="15">P61</f>
        <v>44065</v>
      </c>
    </row>
    <row r="63" spans="1:16" s="268" customFormat="1" ht="15" customHeight="1">
      <c r="A63" s="288" t="s">
        <v>345</v>
      </c>
      <c r="B63" s="286" t="s">
        <v>290</v>
      </c>
      <c r="C63" s="282">
        <f>C62+C60+C56+C33</f>
        <v>4752</v>
      </c>
      <c r="D63" s="282">
        <f t="shared" ref="D63:N63" si="16">D62+D60+D56+D33</f>
        <v>9020.91</v>
      </c>
      <c r="E63" s="282">
        <f t="shared" si="16"/>
        <v>173932</v>
      </c>
      <c r="F63" s="282">
        <f t="shared" si="16"/>
        <v>146086.46999999997</v>
      </c>
      <c r="G63" s="282">
        <f t="shared" si="16"/>
        <v>3400</v>
      </c>
      <c r="H63" s="282">
        <f t="shared" si="16"/>
        <v>1696.25</v>
      </c>
      <c r="I63" s="282">
        <f t="shared" si="16"/>
        <v>8430</v>
      </c>
      <c r="J63" s="282">
        <f t="shared" si="16"/>
        <v>57354.07</v>
      </c>
      <c r="K63" s="282">
        <f t="shared" si="16"/>
        <v>219</v>
      </c>
      <c r="L63" s="282">
        <f t="shared" si="16"/>
        <v>370.53999999999996</v>
      </c>
      <c r="M63" s="282">
        <f t="shared" si="16"/>
        <v>21090</v>
      </c>
      <c r="N63" s="282">
        <f t="shared" si="16"/>
        <v>59864.159999999996</v>
      </c>
      <c r="O63" s="282">
        <f t="shared" ref="O63" si="17">O62+O60+O56+O33</f>
        <v>211823</v>
      </c>
      <c r="P63" s="282">
        <f t="shared" ref="P63" si="18">P62+P60+P56+P33</f>
        <v>274392.39999999997</v>
      </c>
    </row>
    <row r="64" spans="1:16" ht="15" customHeight="1">
      <c r="A64" s="656" t="s">
        <v>777</v>
      </c>
      <c r="B64" s="656"/>
      <c r="C64" s="656"/>
      <c r="D64" s="656"/>
      <c r="E64" s="656"/>
      <c r="F64" s="656"/>
      <c r="G64" s="656"/>
      <c r="H64" s="656"/>
      <c r="I64" s="656"/>
      <c r="J64" s="656"/>
      <c r="K64" s="656"/>
      <c r="L64" s="656"/>
      <c r="M64" s="656"/>
      <c r="N64" s="656"/>
      <c r="O64" s="656"/>
      <c r="P64" s="656"/>
    </row>
    <row r="66" spans="3:18"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342"/>
      <c r="R66" s="342"/>
    </row>
    <row r="67" spans="3:18">
      <c r="C67" s="343"/>
      <c r="D67" s="343"/>
      <c r="E67" s="343"/>
      <c r="F67" s="343"/>
      <c r="G67" s="343"/>
      <c r="H67" s="343"/>
      <c r="I67" s="343"/>
      <c r="J67" s="343"/>
      <c r="K67" s="343"/>
      <c r="L67" s="343"/>
      <c r="M67" s="343"/>
      <c r="N67" s="343"/>
      <c r="O67" s="343"/>
      <c r="P67" s="343"/>
      <c r="Q67" s="342"/>
      <c r="R67" s="342"/>
    </row>
    <row r="68" spans="3:18">
      <c r="C68" s="343">
        <f>C63-C66</f>
        <v>4752</v>
      </c>
      <c r="D68" s="343">
        <f t="shared" ref="D68:P68" si="19">D63-D66</f>
        <v>9020.91</v>
      </c>
      <c r="E68" s="343">
        <f t="shared" si="19"/>
        <v>173932</v>
      </c>
      <c r="F68" s="343">
        <f t="shared" si="19"/>
        <v>146086.46999999997</v>
      </c>
      <c r="G68" s="343">
        <f t="shared" si="19"/>
        <v>3400</v>
      </c>
      <c r="H68" s="343">
        <f t="shared" si="19"/>
        <v>1696.25</v>
      </c>
      <c r="I68" s="343">
        <f t="shared" si="19"/>
        <v>8430</v>
      </c>
      <c r="J68" s="343">
        <f t="shared" si="19"/>
        <v>57354.07</v>
      </c>
      <c r="K68" s="343">
        <f t="shared" si="19"/>
        <v>219</v>
      </c>
      <c r="L68" s="343">
        <f t="shared" si="19"/>
        <v>370.53999999999996</v>
      </c>
      <c r="M68" s="343">
        <f t="shared" si="19"/>
        <v>21090</v>
      </c>
      <c r="N68" s="343">
        <f t="shared" si="19"/>
        <v>59864.159999999996</v>
      </c>
      <c r="O68" s="343">
        <f t="shared" si="19"/>
        <v>211823</v>
      </c>
      <c r="P68" s="343">
        <f t="shared" si="19"/>
        <v>274392.39999999997</v>
      </c>
      <c r="Q68" s="342"/>
      <c r="R68" s="342"/>
    </row>
    <row r="69" spans="3:18" s="4" customFormat="1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3:18">
      <c r="C70" s="343"/>
      <c r="D70" s="343"/>
      <c r="E70" s="343"/>
      <c r="F70" s="343"/>
      <c r="G70" s="343"/>
      <c r="H70" s="343"/>
      <c r="I70" s="343"/>
      <c r="J70" s="343"/>
      <c r="K70" s="343"/>
      <c r="L70" s="343"/>
      <c r="M70" s="343"/>
      <c r="N70" s="343"/>
      <c r="O70" s="343"/>
      <c r="P70" s="343"/>
      <c r="Q70" s="342"/>
      <c r="R70" s="342"/>
    </row>
    <row r="71" spans="3:18">
      <c r="C71" s="343"/>
      <c r="D71" s="343"/>
      <c r="E71" s="343"/>
      <c r="F71" s="343"/>
      <c r="G71" s="343"/>
      <c r="H71" s="343"/>
      <c r="I71" s="343"/>
      <c r="J71" s="343"/>
      <c r="K71" s="343"/>
      <c r="L71" s="343"/>
      <c r="M71" s="343"/>
      <c r="N71" s="343"/>
      <c r="O71" s="343"/>
      <c r="P71" s="343"/>
      <c r="Q71" s="342"/>
      <c r="R71" s="342"/>
    </row>
  </sheetData>
  <mergeCells count="13">
    <mergeCell ref="A64:P64"/>
    <mergeCell ref="M4:N4"/>
    <mergeCell ref="O4:P4"/>
    <mergeCell ref="A1:P1"/>
    <mergeCell ref="B3:D3"/>
    <mergeCell ref="M3:N3"/>
    <mergeCell ref="A4:A5"/>
    <mergeCell ref="B4:B5"/>
    <mergeCell ref="C4:D4"/>
    <mergeCell ref="E4:F4"/>
    <mergeCell ref="G4:H4"/>
    <mergeCell ref="I4:J4"/>
    <mergeCell ref="K4:L4"/>
  </mergeCells>
  <conditionalFormatting sqref="M3">
    <cfRule type="cellIs" dxfId="27" priority="8" operator="lessThan">
      <formula>0</formula>
    </cfRule>
  </conditionalFormatting>
  <conditionalFormatting sqref="B6">
    <cfRule type="duplicateValues" dxfId="26" priority="2"/>
  </conditionalFormatting>
  <conditionalFormatting sqref="B22">
    <cfRule type="duplicateValues" dxfId="25" priority="3"/>
  </conditionalFormatting>
  <conditionalFormatting sqref="B33:B34 B26:B30">
    <cfRule type="duplicateValues" dxfId="24" priority="4"/>
  </conditionalFormatting>
  <conditionalFormatting sqref="B51">
    <cfRule type="duplicateValues" dxfId="23" priority="5"/>
  </conditionalFormatting>
  <conditionalFormatting sqref="B55">
    <cfRule type="duplicateValues" dxfId="22" priority="6"/>
  </conditionalFormatting>
  <conditionalFormatting sqref="B57">
    <cfRule type="duplicateValues" dxfId="21" priority="7"/>
  </conditionalFormatting>
  <pageMargins left="0.25" right="0.25" top="0.75" bottom="0.75" header="0.3" footer="0.3"/>
  <pageSetup paperSize="9"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6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15" sqref="H15"/>
    </sheetView>
  </sheetViews>
  <sheetFormatPr defaultRowHeight="12.75"/>
  <cols>
    <col min="1" max="1" width="9.140625" style="4"/>
    <col min="2" max="2" width="24.42578125" style="4" bestFit="1" customWidth="1"/>
    <col min="3" max="3" width="13.28515625" style="4" customWidth="1"/>
    <col min="4" max="4" width="14.85546875" style="4" customWidth="1"/>
    <col min="5" max="5" width="13.42578125" style="4" customWidth="1"/>
    <col min="6" max="6" width="14.5703125" style="5" customWidth="1"/>
    <col min="7" max="16384" width="9.140625" style="4"/>
  </cols>
  <sheetData>
    <row r="1" spans="1:6" ht="15.75" customHeight="1">
      <c r="A1" s="662" t="s">
        <v>771</v>
      </c>
      <c r="B1" s="662"/>
      <c r="C1" s="662"/>
      <c r="D1" s="662"/>
      <c r="E1" s="662"/>
      <c r="F1" s="662"/>
    </row>
    <row r="2" spans="1:6" ht="14.25">
      <c r="A2" s="48"/>
      <c r="B2" s="48"/>
      <c r="C2" s="48"/>
      <c r="D2" s="48"/>
      <c r="E2" s="48"/>
      <c r="F2" s="188"/>
    </row>
    <row r="3" spans="1:6" ht="15" customHeight="1">
      <c r="A3" s="33"/>
      <c r="B3" s="695" t="s">
        <v>12</v>
      </c>
      <c r="C3" s="695"/>
      <c r="D3" s="695"/>
      <c r="F3" s="199" t="s">
        <v>185</v>
      </c>
    </row>
    <row r="4" spans="1:6" ht="14.25" customHeight="1">
      <c r="A4" s="679" t="s">
        <v>230</v>
      </c>
      <c r="B4" s="679" t="s">
        <v>3</v>
      </c>
      <c r="C4" s="696" t="s">
        <v>183</v>
      </c>
      <c r="D4" s="697"/>
      <c r="E4" s="648" t="s">
        <v>184</v>
      </c>
      <c r="F4" s="648"/>
    </row>
    <row r="5" spans="1:6" ht="13.5">
      <c r="A5" s="680"/>
      <c r="B5" s="682"/>
      <c r="C5" s="186" t="s">
        <v>30</v>
      </c>
      <c r="D5" s="195" t="s">
        <v>17</v>
      </c>
      <c r="E5" s="186" t="s">
        <v>30</v>
      </c>
      <c r="F5" s="186" t="s">
        <v>17</v>
      </c>
    </row>
    <row r="6" spans="1:6" ht="15" customHeight="1">
      <c r="A6" s="57">
        <v>1</v>
      </c>
      <c r="B6" s="58" t="s">
        <v>55</v>
      </c>
      <c r="C6" s="177">
        <v>30746</v>
      </c>
      <c r="D6" s="177">
        <v>78698</v>
      </c>
      <c r="E6" s="177">
        <v>11939</v>
      </c>
      <c r="F6" s="177">
        <v>20770</v>
      </c>
    </row>
    <row r="7" spans="1:6" ht="15" customHeight="1">
      <c r="A7" s="57">
        <v>2</v>
      </c>
      <c r="B7" s="58" t="s">
        <v>56</v>
      </c>
      <c r="C7" s="167">
        <v>357</v>
      </c>
      <c r="D7" s="167">
        <v>777.1</v>
      </c>
      <c r="E7" s="167">
        <v>241</v>
      </c>
      <c r="F7" s="167">
        <v>521.95000000000005</v>
      </c>
    </row>
    <row r="8" spans="1:6" ht="15" customHeight="1">
      <c r="A8" s="57">
        <v>3</v>
      </c>
      <c r="B8" s="58" t="s">
        <v>57</v>
      </c>
      <c r="C8" s="167">
        <v>12615</v>
      </c>
      <c r="D8" s="167">
        <v>12795</v>
      </c>
      <c r="E8" s="167">
        <v>10815</v>
      </c>
      <c r="F8" s="167">
        <v>9826</v>
      </c>
    </row>
    <row r="9" spans="1:6" ht="15" customHeight="1">
      <c r="A9" s="57">
        <v>4</v>
      </c>
      <c r="B9" s="58" t="s">
        <v>58</v>
      </c>
      <c r="C9" s="167">
        <v>121107</v>
      </c>
      <c r="D9" s="167">
        <v>338185</v>
      </c>
      <c r="E9" s="167">
        <v>15238</v>
      </c>
      <c r="F9" s="167">
        <v>146196</v>
      </c>
    </row>
    <row r="10" spans="1:6" ht="15" customHeight="1">
      <c r="A10" s="57">
        <v>5</v>
      </c>
      <c r="B10" s="58" t="s">
        <v>59</v>
      </c>
      <c r="C10" s="167">
        <v>13872</v>
      </c>
      <c r="D10" s="167">
        <v>35060.06</v>
      </c>
      <c r="E10" s="167">
        <v>8562</v>
      </c>
      <c r="F10" s="167">
        <v>10119.879999999999</v>
      </c>
    </row>
    <row r="11" spans="1:6" ht="15" customHeight="1">
      <c r="A11" s="57">
        <v>6</v>
      </c>
      <c r="B11" s="175" t="s">
        <v>241</v>
      </c>
      <c r="C11" s="167">
        <v>0</v>
      </c>
      <c r="D11" s="167">
        <v>0</v>
      </c>
      <c r="E11" s="167">
        <v>0</v>
      </c>
      <c r="F11" s="167">
        <v>0</v>
      </c>
    </row>
    <row r="12" spans="1:6" ht="15" customHeight="1">
      <c r="A12" s="57">
        <v>7</v>
      </c>
      <c r="B12" s="58" t="s">
        <v>60</v>
      </c>
      <c r="C12" s="167">
        <v>4897</v>
      </c>
      <c r="D12" s="167">
        <v>7509</v>
      </c>
      <c r="E12" s="167">
        <v>2198</v>
      </c>
      <c r="F12" s="167">
        <v>6616</v>
      </c>
    </row>
    <row r="13" spans="1:6" ht="15" customHeight="1">
      <c r="A13" s="57">
        <v>8</v>
      </c>
      <c r="B13" s="58" t="s">
        <v>61</v>
      </c>
      <c r="C13" s="167">
        <v>75666.17</v>
      </c>
      <c r="D13" s="167">
        <v>47432</v>
      </c>
      <c r="E13" s="167">
        <v>51291</v>
      </c>
      <c r="F13" s="167">
        <v>53111</v>
      </c>
    </row>
    <row r="14" spans="1:6" ht="15" customHeight="1">
      <c r="A14" s="57">
        <v>9</v>
      </c>
      <c r="B14" s="58" t="s">
        <v>48</v>
      </c>
      <c r="C14" s="167">
        <v>1407</v>
      </c>
      <c r="D14" s="167">
        <v>2891.32</v>
      </c>
      <c r="E14" s="167">
        <v>895</v>
      </c>
      <c r="F14" s="167">
        <v>2039.61</v>
      </c>
    </row>
    <row r="15" spans="1:6" ht="15" customHeight="1">
      <c r="A15" s="57">
        <v>10</v>
      </c>
      <c r="B15" s="58" t="s">
        <v>49</v>
      </c>
      <c r="C15" s="167">
        <v>2908</v>
      </c>
      <c r="D15" s="167">
        <v>2782</v>
      </c>
      <c r="E15" s="167">
        <v>1531</v>
      </c>
      <c r="F15" s="167">
        <v>1759</v>
      </c>
    </row>
    <row r="16" spans="1:6" ht="15" customHeight="1">
      <c r="A16" s="57">
        <v>11</v>
      </c>
      <c r="B16" s="58" t="s">
        <v>81</v>
      </c>
      <c r="C16" s="167">
        <v>6323</v>
      </c>
      <c r="D16" s="167">
        <v>4701</v>
      </c>
      <c r="E16" s="167">
        <v>4072</v>
      </c>
      <c r="F16" s="167">
        <v>3141</v>
      </c>
    </row>
    <row r="17" spans="1:6" ht="15" customHeight="1">
      <c r="A17" s="57">
        <v>12</v>
      </c>
      <c r="B17" s="58" t="s">
        <v>62</v>
      </c>
      <c r="C17" s="167">
        <v>910</v>
      </c>
      <c r="D17" s="167">
        <v>1125</v>
      </c>
      <c r="E17" s="167">
        <v>281</v>
      </c>
      <c r="F17" s="167">
        <v>583</v>
      </c>
    </row>
    <row r="18" spans="1:6" ht="15" customHeight="1">
      <c r="A18" s="57">
        <v>13</v>
      </c>
      <c r="B18" s="58" t="s">
        <v>63</v>
      </c>
      <c r="C18" s="167">
        <v>1257</v>
      </c>
      <c r="D18" s="167">
        <v>1849.31</v>
      </c>
      <c r="E18" s="167">
        <v>867</v>
      </c>
      <c r="F18" s="167">
        <v>1091.3699999999999</v>
      </c>
    </row>
    <row r="19" spans="1:6" ht="15" customHeight="1">
      <c r="A19" s="57">
        <v>14</v>
      </c>
      <c r="B19" s="90" t="s">
        <v>206</v>
      </c>
      <c r="C19" s="167">
        <v>3529</v>
      </c>
      <c r="D19" s="167">
        <v>8895.0400000000009</v>
      </c>
      <c r="E19" s="167">
        <v>1609</v>
      </c>
      <c r="F19" s="167">
        <v>3088.16</v>
      </c>
    </row>
    <row r="20" spans="1:6" ht="15" customHeight="1">
      <c r="A20" s="57">
        <v>15</v>
      </c>
      <c r="B20" s="58" t="s">
        <v>207</v>
      </c>
      <c r="C20" s="167">
        <v>342</v>
      </c>
      <c r="D20" s="167">
        <v>478.91</v>
      </c>
      <c r="E20" s="167">
        <v>116</v>
      </c>
      <c r="F20" s="167">
        <v>135.47999999999999</v>
      </c>
    </row>
    <row r="21" spans="1:6" ht="15" customHeight="1">
      <c r="A21" s="57">
        <v>16</v>
      </c>
      <c r="B21" s="58" t="s">
        <v>64</v>
      </c>
      <c r="C21" s="167">
        <v>20265</v>
      </c>
      <c r="D21" s="167">
        <v>23715</v>
      </c>
      <c r="E21" s="167">
        <v>8685</v>
      </c>
      <c r="F21" s="167">
        <v>10163</v>
      </c>
    </row>
    <row r="22" spans="1:6" ht="15" customHeight="1">
      <c r="A22" s="57">
        <v>17</v>
      </c>
      <c r="B22" s="90" t="s">
        <v>69</v>
      </c>
      <c r="C22" s="167">
        <v>0</v>
      </c>
      <c r="D22" s="167">
        <v>0</v>
      </c>
      <c r="E22" s="167">
        <v>0</v>
      </c>
      <c r="F22" s="167">
        <v>0</v>
      </c>
    </row>
    <row r="23" spans="1:6" ht="15" customHeight="1">
      <c r="A23" s="57">
        <v>18</v>
      </c>
      <c r="B23" s="58" t="s">
        <v>208</v>
      </c>
      <c r="C23" s="167">
        <v>0</v>
      </c>
      <c r="D23" s="167">
        <v>0</v>
      </c>
      <c r="E23" s="167">
        <v>0</v>
      </c>
      <c r="F23" s="167">
        <v>0</v>
      </c>
    </row>
    <row r="24" spans="1:6" ht="15" customHeight="1">
      <c r="A24" s="57">
        <v>19</v>
      </c>
      <c r="B24" s="91" t="s">
        <v>209</v>
      </c>
      <c r="C24" s="167">
        <v>65</v>
      </c>
      <c r="D24" s="167">
        <v>206.62</v>
      </c>
      <c r="E24" s="167">
        <v>6</v>
      </c>
      <c r="F24" s="167">
        <v>145</v>
      </c>
    </row>
    <row r="25" spans="1:6" ht="15" customHeight="1">
      <c r="A25" s="57">
        <v>20</v>
      </c>
      <c r="B25" s="58" t="s">
        <v>210</v>
      </c>
      <c r="C25" s="167">
        <v>0</v>
      </c>
      <c r="D25" s="167">
        <v>0</v>
      </c>
      <c r="E25" s="167">
        <v>0</v>
      </c>
      <c r="F25" s="167">
        <v>0</v>
      </c>
    </row>
    <row r="26" spans="1:6" ht="15" customHeight="1">
      <c r="A26" s="57">
        <v>21</v>
      </c>
      <c r="B26" s="58" t="s">
        <v>211</v>
      </c>
      <c r="C26" s="167">
        <v>0</v>
      </c>
      <c r="D26" s="167">
        <v>0</v>
      </c>
      <c r="E26" s="167">
        <v>0</v>
      </c>
      <c r="F26" s="167">
        <v>0</v>
      </c>
    </row>
    <row r="27" spans="1:6" ht="15" customHeight="1">
      <c r="A27" s="57">
        <v>22</v>
      </c>
      <c r="B27" s="58" t="s">
        <v>70</v>
      </c>
      <c r="C27" s="167">
        <v>18403</v>
      </c>
      <c r="D27" s="167">
        <v>43979</v>
      </c>
      <c r="E27" s="167">
        <v>75642</v>
      </c>
      <c r="F27" s="167">
        <v>147544</v>
      </c>
    </row>
    <row r="28" spans="1:6" ht="15" customHeight="1">
      <c r="A28" s="57">
        <v>23</v>
      </c>
      <c r="B28" s="58" t="s">
        <v>65</v>
      </c>
      <c r="C28" s="167">
        <v>1920</v>
      </c>
      <c r="D28" s="167">
        <v>2633</v>
      </c>
      <c r="E28" s="167">
        <v>1783</v>
      </c>
      <c r="F28" s="167">
        <v>2245</v>
      </c>
    </row>
    <row r="29" spans="1:6" ht="15" customHeight="1">
      <c r="A29" s="57">
        <v>24</v>
      </c>
      <c r="B29" s="58" t="s">
        <v>212</v>
      </c>
      <c r="C29" s="167">
        <v>14543</v>
      </c>
      <c r="D29" s="167">
        <v>16135</v>
      </c>
      <c r="E29" s="167">
        <v>9349</v>
      </c>
      <c r="F29" s="167">
        <v>2353</v>
      </c>
    </row>
    <row r="30" spans="1:6" ht="15" customHeight="1">
      <c r="A30" s="57">
        <v>25</v>
      </c>
      <c r="B30" s="58" t="s">
        <v>66</v>
      </c>
      <c r="C30" s="167">
        <v>21872</v>
      </c>
      <c r="D30" s="167">
        <v>26208</v>
      </c>
      <c r="E30" s="167">
        <v>12554</v>
      </c>
      <c r="F30" s="167">
        <v>13310</v>
      </c>
    </row>
    <row r="31" spans="1:6" ht="15" customHeight="1">
      <c r="A31" s="57">
        <v>26</v>
      </c>
      <c r="B31" s="175" t="s">
        <v>67</v>
      </c>
      <c r="C31" s="167">
        <v>162</v>
      </c>
      <c r="D31" s="167">
        <v>1648</v>
      </c>
      <c r="E31" s="167">
        <v>72</v>
      </c>
      <c r="F31" s="167">
        <v>721</v>
      </c>
    </row>
    <row r="32" spans="1:6" ht="15" customHeight="1">
      <c r="A32" s="57">
        <v>27</v>
      </c>
      <c r="B32" s="58" t="s">
        <v>50</v>
      </c>
      <c r="C32" s="167">
        <v>503</v>
      </c>
      <c r="D32" s="167">
        <v>95</v>
      </c>
      <c r="E32" s="167">
        <v>322</v>
      </c>
      <c r="F32" s="167">
        <v>79</v>
      </c>
    </row>
    <row r="33" spans="1:6" s="176" customFormat="1" ht="15" customHeight="1">
      <c r="A33" s="57"/>
      <c r="B33" s="59" t="s">
        <v>292</v>
      </c>
      <c r="C33" s="169">
        <f>SUM(C6:C32)</f>
        <v>353669.17</v>
      </c>
      <c r="D33" s="169">
        <f t="shared" ref="D33:F33" si="0">SUM(D6:D32)</f>
        <v>657798.3600000001</v>
      </c>
      <c r="E33" s="169">
        <f t="shared" si="0"/>
        <v>218068</v>
      </c>
      <c r="F33" s="169">
        <f t="shared" si="0"/>
        <v>435558.45</v>
      </c>
    </row>
    <row r="34" spans="1:6" ht="15" customHeight="1">
      <c r="A34" s="57">
        <v>28</v>
      </c>
      <c r="B34" s="58" t="s">
        <v>47</v>
      </c>
      <c r="C34" s="167">
        <v>11241</v>
      </c>
      <c r="D34" s="167">
        <v>3986.66</v>
      </c>
      <c r="E34" s="167">
        <v>6150</v>
      </c>
      <c r="F34" s="167">
        <v>2844.66</v>
      </c>
    </row>
    <row r="35" spans="1:6" ht="15" customHeight="1">
      <c r="A35" s="57">
        <v>29</v>
      </c>
      <c r="B35" s="58" t="s">
        <v>214</v>
      </c>
      <c r="C35" s="167">
        <v>34091</v>
      </c>
      <c r="D35" s="167">
        <v>9668.17</v>
      </c>
      <c r="E35" s="167">
        <v>16277</v>
      </c>
      <c r="F35" s="167">
        <v>4249.2</v>
      </c>
    </row>
    <row r="36" spans="1:6" ht="15" customHeight="1">
      <c r="A36" s="57">
        <v>30</v>
      </c>
      <c r="B36" s="58" t="s">
        <v>215</v>
      </c>
      <c r="C36" s="167">
        <v>0</v>
      </c>
      <c r="D36" s="167">
        <v>0</v>
      </c>
      <c r="E36" s="167">
        <v>0</v>
      </c>
      <c r="F36" s="167">
        <v>0</v>
      </c>
    </row>
    <row r="37" spans="1:6" ht="15" customHeight="1">
      <c r="A37" s="57">
        <v>31</v>
      </c>
      <c r="B37" s="58" t="s">
        <v>78</v>
      </c>
      <c r="C37" s="167">
        <v>0</v>
      </c>
      <c r="D37" s="167">
        <v>0</v>
      </c>
      <c r="E37" s="167">
        <v>0</v>
      </c>
      <c r="F37" s="167">
        <v>0</v>
      </c>
    </row>
    <row r="38" spans="1:6" ht="15" customHeight="1">
      <c r="A38" s="57">
        <v>32</v>
      </c>
      <c r="B38" s="58" t="s">
        <v>51</v>
      </c>
      <c r="C38" s="167">
        <v>0</v>
      </c>
      <c r="D38" s="167">
        <v>0</v>
      </c>
      <c r="E38" s="167">
        <v>0</v>
      </c>
      <c r="F38" s="167">
        <v>0</v>
      </c>
    </row>
    <row r="39" spans="1:6" ht="15" customHeight="1">
      <c r="A39" s="57">
        <v>33</v>
      </c>
      <c r="B39" s="58" t="s">
        <v>216</v>
      </c>
      <c r="C39" s="167">
        <v>0</v>
      </c>
      <c r="D39" s="167">
        <v>0</v>
      </c>
      <c r="E39" s="167">
        <v>1</v>
      </c>
      <c r="F39" s="167">
        <v>4.5</v>
      </c>
    </row>
    <row r="40" spans="1:6" ht="15" customHeight="1">
      <c r="A40" s="57">
        <v>34</v>
      </c>
      <c r="B40" s="58" t="s">
        <v>217</v>
      </c>
      <c r="C40" s="167">
        <v>0</v>
      </c>
      <c r="D40" s="167">
        <v>0</v>
      </c>
      <c r="E40" s="167">
        <v>0</v>
      </c>
      <c r="F40" s="167">
        <v>0</v>
      </c>
    </row>
    <row r="41" spans="1:6" ht="15" customHeight="1">
      <c r="A41" s="57">
        <v>35</v>
      </c>
      <c r="B41" s="58" t="s">
        <v>218</v>
      </c>
      <c r="C41" s="167">
        <v>35</v>
      </c>
      <c r="D41" s="167">
        <v>65</v>
      </c>
      <c r="E41" s="167">
        <v>7</v>
      </c>
      <c r="F41" s="167">
        <v>5</v>
      </c>
    </row>
    <row r="42" spans="1:6" ht="15" customHeight="1">
      <c r="A42" s="57">
        <v>36</v>
      </c>
      <c r="B42" s="58" t="s">
        <v>71</v>
      </c>
      <c r="C42" s="167">
        <v>3302</v>
      </c>
      <c r="D42" s="167">
        <v>12832</v>
      </c>
      <c r="E42" s="167">
        <v>2171</v>
      </c>
      <c r="F42" s="167">
        <v>4201</v>
      </c>
    </row>
    <row r="43" spans="1:6" ht="15" customHeight="1">
      <c r="A43" s="57">
        <v>37</v>
      </c>
      <c r="B43" s="58" t="s">
        <v>72</v>
      </c>
      <c r="C43" s="167">
        <v>16390</v>
      </c>
      <c r="D43" s="167">
        <v>18575</v>
      </c>
      <c r="E43" s="167">
        <v>6369</v>
      </c>
      <c r="F43" s="167">
        <v>10510</v>
      </c>
    </row>
    <row r="44" spans="1:6" ht="15" customHeight="1">
      <c r="A44" s="57">
        <v>38</v>
      </c>
      <c r="B44" s="58" t="s">
        <v>219</v>
      </c>
      <c r="C44" s="167">
        <v>407</v>
      </c>
      <c r="D44" s="167">
        <v>169</v>
      </c>
      <c r="E44" s="167">
        <v>283</v>
      </c>
      <c r="F44" s="167">
        <v>102</v>
      </c>
    </row>
    <row r="45" spans="1:6" ht="15" customHeight="1">
      <c r="A45" s="57">
        <v>39</v>
      </c>
      <c r="B45" s="58" t="s">
        <v>220</v>
      </c>
      <c r="C45" s="167">
        <v>5182</v>
      </c>
      <c r="D45" s="167">
        <v>3747.75</v>
      </c>
      <c r="E45" s="167">
        <v>3962</v>
      </c>
      <c r="F45" s="167">
        <v>3547.04</v>
      </c>
    </row>
    <row r="46" spans="1:6" ht="15" customHeight="1">
      <c r="A46" s="57">
        <v>40</v>
      </c>
      <c r="B46" s="58" t="s">
        <v>221</v>
      </c>
      <c r="C46" s="167">
        <v>16</v>
      </c>
      <c r="D46" s="167">
        <v>9</v>
      </c>
      <c r="E46" s="167">
        <v>8</v>
      </c>
      <c r="F46" s="167">
        <v>2</v>
      </c>
    </row>
    <row r="47" spans="1:6" ht="15" customHeight="1">
      <c r="A47" s="57">
        <v>41</v>
      </c>
      <c r="B47" s="58" t="s">
        <v>222</v>
      </c>
      <c r="C47" s="167">
        <v>7</v>
      </c>
      <c r="D47" s="167">
        <v>88.92</v>
      </c>
      <c r="E47" s="167">
        <v>2</v>
      </c>
      <c r="F47" s="167">
        <v>10.86</v>
      </c>
    </row>
    <row r="48" spans="1:6" ht="15" customHeight="1">
      <c r="A48" s="57">
        <v>42</v>
      </c>
      <c r="B48" s="58" t="s">
        <v>223</v>
      </c>
      <c r="C48" s="167">
        <v>0</v>
      </c>
      <c r="D48" s="167">
        <v>0</v>
      </c>
      <c r="E48" s="167">
        <v>0</v>
      </c>
      <c r="F48" s="167">
        <v>0</v>
      </c>
    </row>
    <row r="49" spans="1:6" ht="15" customHeight="1">
      <c r="A49" s="57">
        <v>43</v>
      </c>
      <c r="B49" s="58" t="s">
        <v>73</v>
      </c>
      <c r="C49" s="167">
        <v>3621</v>
      </c>
      <c r="D49" s="167">
        <v>7498</v>
      </c>
      <c r="E49" s="167">
        <v>1800</v>
      </c>
      <c r="F49" s="167">
        <v>5116</v>
      </c>
    </row>
    <row r="50" spans="1:6" ht="15" customHeight="1">
      <c r="A50" s="57">
        <v>44</v>
      </c>
      <c r="B50" s="58" t="s">
        <v>224</v>
      </c>
      <c r="C50" s="167">
        <v>1</v>
      </c>
      <c r="D50" s="167">
        <v>0.76</v>
      </c>
      <c r="E50" s="167">
        <v>0</v>
      </c>
      <c r="F50" s="167">
        <v>0</v>
      </c>
    </row>
    <row r="51" spans="1:6" ht="15" customHeight="1">
      <c r="A51" s="57">
        <v>45</v>
      </c>
      <c r="B51" s="58" t="s">
        <v>225</v>
      </c>
      <c r="C51" s="167">
        <v>4627</v>
      </c>
      <c r="D51" s="167">
        <v>697</v>
      </c>
      <c r="E51" s="167">
        <v>1933</v>
      </c>
      <c r="F51" s="167">
        <v>346</v>
      </c>
    </row>
    <row r="52" spans="1:6" ht="15" customHeight="1">
      <c r="A52" s="57">
        <v>46</v>
      </c>
      <c r="B52" s="58" t="s">
        <v>226</v>
      </c>
      <c r="C52" s="167">
        <v>0</v>
      </c>
      <c r="D52" s="167">
        <v>0</v>
      </c>
      <c r="E52" s="167">
        <v>0</v>
      </c>
      <c r="F52" s="167">
        <v>0</v>
      </c>
    </row>
    <row r="53" spans="1:6" ht="15" customHeight="1">
      <c r="A53" s="57">
        <v>47</v>
      </c>
      <c r="B53" s="58" t="s">
        <v>77</v>
      </c>
      <c r="C53" s="167">
        <v>0</v>
      </c>
      <c r="D53" s="167">
        <v>0</v>
      </c>
      <c r="E53" s="167">
        <v>0</v>
      </c>
      <c r="F53" s="167">
        <v>0</v>
      </c>
    </row>
    <row r="54" spans="1:6" ht="15" customHeight="1">
      <c r="A54" s="57">
        <v>48</v>
      </c>
      <c r="B54" s="58" t="s">
        <v>227</v>
      </c>
      <c r="C54" s="167">
        <v>0</v>
      </c>
      <c r="D54" s="167">
        <v>0</v>
      </c>
      <c r="E54" s="167">
        <v>0</v>
      </c>
      <c r="F54" s="167">
        <v>0</v>
      </c>
    </row>
    <row r="55" spans="1:6" ht="15" customHeight="1">
      <c r="A55" s="57">
        <v>49</v>
      </c>
      <c r="B55" s="58" t="s">
        <v>76</v>
      </c>
      <c r="C55" s="167">
        <v>62</v>
      </c>
      <c r="D55" s="167">
        <v>438</v>
      </c>
      <c r="E55" s="167">
        <v>0</v>
      </c>
      <c r="F55" s="167">
        <v>0</v>
      </c>
    </row>
    <row r="56" spans="1:6" s="176" customFormat="1" ht="15" customHeight="1">
      <c r="A56" s="265"/>
      <c r="B56" s="59" t="s">
        <v>287</v>
      </c>
      <c r="C56" s="169">
        <f>SUM(C34:C55)</f>
        <v>78982</v>
      </c>
      <c r="D56" s="169">
        <f t="shared" ref="D56:F56" si="1">SUM(D34:D55)</f>
        <v>57775.26</v>
      </c>
      <c r="E56" s="169">
        <f t="shared" si="1"/>
        <v>38963</v>
      </c>
      <c r="F56" s="169">
        <f t="shared" si="1"/>
        <v>30938.260000000002</v>
      </c>
    </row>
    <row r="57" spans="1:6" ht="15" customHeight="1">
      <c r="A57" s="57">
        <v>50</v>
      </c>
      <c r="B57" s="58" t="s">
        <v>46</v>
      </c>
      <c r="C57" s="167">
        <v>25108</v>
      </c>
      <c r="D57" s="167">
        <v>22561.66</v>
      </c>
      <c r="E57" s="167">
        <v>37694</v>
      </c>
      <c r="F57" s="167">
        <v>33870.699999999997</v>
      </c>
    </row>
    <row r="58" spans="1:6" ht="15" customHeight="1">
      <c r="A58" s="57">
        <v>51</v>
      </c>
      <c r="B58" s="58" t="s">
        <v>228</v>
      </c>
      <c r="C58" s="167">
        <v>54951</v>
      </c>
      <c r="D58" s="167">
        <v>21467</v>
      </c>
      <c r="E58" s="167">
        <v>21042</v>
      </c>
      <c r="F58" s="167">
        <v>8129</v>
      </c>
    </row>
    <row r="59" spans="1:6" ht="15" customHeight="1">
      <c r="A59" s="57">
        <v>52</v>
      </c>
      <c r="B59" s="58" t="s">
        <v>52</v>
      </c>
      <c r="C59" s="167">
        <v>29804</v>
      </c>
      <c r="D59" s="167">
        <v>2312.4899999999998</v>
      </c>
      <c r="E59" s="167">
        <v>31102</v>
      </c>
      <c r="F59" s="167">
        <v>28889.8</v>
      </c>
    </row>
    <row r="60" spans="1:6" s="176" customFormat="1" ht="15" customHeight="1">
      <c r="A60" s="265"/>
      <c r="B60" s="264" t="s">
        <v>293</v>
      </c>
      <c r="C60" s="169">
        <f>SUM(C57:C59)</f>
        <v>109863</v>
      </c>
      <c r="D60" s="169">
        <f t="shared" ref="D60:F60" si="2">SUM(D57:D59)</f>
        <v>46341.15</v>
      </c>
      <c r="E60" s="169">
        <f t="shared" si="2"/>
        <v>89838</v>
      </c>
      <c r="F60" s="169">
        <f t="shared" si="2"/>
        <v>70889.5</v>
      </c>
    </row>
    <row r="61" spans="1:6" ht="15" customHeight="1">
      <c r="A61" s="57">
        <v>53</v>
      </c>
      <c r="B61" s="261" t="s">
        <v>288</v>
      </c>
      <c r="C61" s="261">
        <v>186238</v>
      </c>
      <c r="D61" s="261">
        <v>67046</v>
      </c>
      <c r="E61" s="261">
        <v>360218</v>
      </c>
      <c r="F61" s="167">
        <v>176507</v>
      </c>
    </row>
    <row r="62" spans="1:6" s="176" customFormat="1" ht="15" customHeight="1">
      <c r="A62" s="265"/>
      <c r="B62" s="264" t="s">
        <v>289</v>
      </c>
      <c r="C62" s="264">
        <f>C61</f>
        <v>186238</v>
      </c>
      <c r="D62" s="264">
        <f t="shared" ref="D62:F62" si="3">D61</f>
        <v>67046</v>
      </c>
      <c r="E62" s="264">
        <f t="shared" si="3"/>
        <v>360218</v>
      </c>
      <c r="F62" s="264">
        <f t="shared" si="3"/>
        <v>176507</v>
      </c>
    </row>
    <row r="63" spans="1:6" s="176" customFormat="1" ht="15" customHeight="1">
      <c r="A63" s="265"/>
      <c r="B63" s="264" t="s">
        <v>290</v>
      </c>
      <c r="C63" s="169">
        <f>C62+C60+C56+C33</f>
        <v>728752.16999999993</v>
      </c>
      <c r="D63" s="169">
        <f t="shared" ref="D63:F63" si="4">D62+D60+D56+D33</f>
        <v>828960.77000000014</v>
      </c>
      <c r="E63" s="169">
        <f t="shared" si="4"/>
        <v>707087</v>
      </c>
      <c r="F63" s="169">
        <f t="shared" si="4"/>
        <v>713893.21</v>
      </c>
    </row>
    <row r="64" spans="1:6">
      <c r="B64" s="338" t="s">
        <v>777</v>
      </c>
    </row>
    <row r="66" spans="3:6">
      <c r="C66" s="176"/>
      <c r="D66" s="247"/>
      <c r="E66" s="176"/>
      <c r="F66" s="247"/>
    </row>
    <row r="68" spans="3:6">
      <c r="C68" s="5"/>
      <c r="D68" s="5"/>
      <c r="E68" s="5"/>
    </row>
  </sheetData>
  <mergeCells count="6">
    <mergeCell ref="A1:F1"/>
    <mergeCell ref="B3:D3"/>
    <mergeCell ref="A4:A5"/>
    <mergeCell ref="B4:B5"/>
    <mergeCell ref="C4:D4"/>
    <mergeCell ref="E4:F4"/>
  </mergeCells>
  <conditionalFormatting sqref="B6">
    <cfRule type="duplicateValues" dxfId="20" priority="2"/>
  </conditionalFormatting>
  <conditionalFormatting sqref="B22">
    <cfRule type="duplicateValues" dxfId="19" priority="3"/>
  </conditionalFormatting>
  <conditionalFormatting sqref="B33:B34 B26:B30">
    <cfRule type="duplicateValues" dxfId="18" priority="4"/>
  </conditionalFormatting>
  <conditionalFormatting sqref="B52">
    <cfRule type="duplicateValues" dxfId="17" priority="5"/>
  </conditionalFormatting>
  <conditionalFormatting sqref="B56">
    <cfRule type="duplicateValues" dxfId="16" priority="6"/>
  </conditionalFormatting>
  <conditionalFormatting sqref="B58">
    <cfRule type="duplicateValues" dxfId="15" priority="7"/>
  </conditionalFormatting>
  <pageMargins left="0.7" right="0.7" top="0.25" bottom="0.25" header="0.3" footer="0.3"/>
  <pageSetup paperSize="9" scale="8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65"/>
  <sheetViews>
    <sheetView view="pageBreakPreview" zoomScale="60" zoomScaleNormal="100" workbookViewId="0">
      <pane xSplit="2" ySplit="5" topLeftCell="C38" activePane="bottomRight" state="frozen"/>
      <selection pane="topRight" activeCell="C1" sqref="C1"/>
      <selection pane="bottomLeft" activeCell="A6" sqref="A6"/>
      <selection pane="bottomRight" activeCell="H65" sqref="H65"/>
    </sheetView>
  </sheetViews>
  <sheetFormatPr defaultRowHeight="12.75"/>
  <cols>
    <col min="1" max="1" width="5" style="198" customWidth="1"/>
    <col min="2" max="2" width="24.42578125" style="198" bestFit="1" customWidth="1"/>
    <col min="3" max="3" width="15" style="200" customWidth="1"/>
    <col min="4" max="4" width="12.42578125" style="200" customWidth="1"/>
    <col min="5" max="5" width="15.85546875" style="200" customWidth="1"/>
    <col min="6" max="6" width="14" style="200" customWidth="1"/>
    <col min="7" max="16384" width="9.140625" style="198"/>
  </cols>
  <sheetData>
    <row r="1" spans="1:6" ht="18.75">
      <c r="A1" s="662" t="s">
        <v>772</v>
      </c>
      <c r="B1" s="662"/>
      <c r="C1" s="662"/>
      <c r="D1" s="662"/>
      <c r="E1" s="662"/>
      <c r="F1" s="662"/>
    </row>
    <row r="2" spans="1:6" ht="14.25">
      <c r="A2" s="48"/>
      <c r="B2" s="48"/>
      <c r="C2" s="188"/>
      <c r="D2" s="188"/>
      <c r="E2" s="188"/>
      <c r="F2" s="188"/>
    </row>
    <row r="3" spans="1:6" ht="15.75">
      <c r="A3" s="33"/>
      <c r="B3" s="687" t="s">
        <v>12</v>
      </c>
      <c r="C3" s="687"/>
      <c r="D3" s="687"/>
      <c r="F3" s="199" t="s">
        <v>186</v>
      </c>
    </row>
    <row r="4" spans="1:6" ht="15" customHeight="1">
      <c r="A4" s="664" t="s">
        <v>230</v>
      </c>
      <c r="B4" s="664" t="s">
        <v>3</v>
      </c>
      <c r="C4" s="648" t="s">
        <v>183</v>
      </c>
      <c r="D4" s="648"/>
      <c r="E4" s="648" t="s">
        <v>184</v>
      </c>
      <c r="F4" s="648"/>
    </row>
    <row r="5" spans="1:6" ht="15" customHeight="1">
      <c r="A5" s="664"/>
      <c r="B5" s="664"/>
      <c r="C5" s="266" t="s">
        <v>30</v>
      </c>
      <c r="D5" s="266" t="s">
        <v>17</v>
      </c>
      <c r="E5" s="266" t="s">
        <v>30</v>
      </c>
      <c r="F5" s="266" t="s">
        <v>17</v>
      </c>
    </row>
    <row r="6" spans="1:6" ht="15" customHeight="1">
      <c r="A6" s="57">
        <v>1</v>
      </c>
      <c r="B6" s="58" t="s">
        <v>55</v>
      </c>
      <c r="C6" s="167">
        <v>1245</v>
      </c>
      <c r="D6" s="167">
        <v>1345</v>
      </c>
      <c r="E6" s="167">
        <v>1399</v>
      </c>
      <c r="F6" s="167">
        <v>560</v>
      </c>
    </row>
    <row r="7" spans="1:6" ht="15" customHeight="1">
      <c r="A7" s="57">
        <v>2</v>
      </c>
      <c r="B7" s="58" t="s">
        <v>56</v>
      </c>
      <c r="C7" s="167">
        <v>255</v>
      </c>
      <c r="D7" s="167">
        <v>420.51</v>
      </c>
      <c r="E7" s="167">
        <v>35</v>
      </c>
      <c r="F7" s="167">
        <v>81.349999999999994</v>
      </c>
    </row>
    <row r="8" spans="1:6" ht="15" customHeight="1">
      <c r="A8" s="57">
        <v>3</v>
      </c>
      <c r="B8" s="58" t="s">
        <v>57</v>
      </c>
      <c r="C8" s="167">
        <v>2213</v>
      </c>
      <c r="D8" s="167">
        <v>4755</v>
      </c>
      <c r="E8" s="167">
        <v>1145</v>
      </c>
      <c r="F8" s="167">
        <v>1256</v>
      </c>
    </row>
    <row r="9" spans="1:6" ht="15" customHeight="1">
      <c r="A9" s="57">
        <v>4</v>
      </c>
      <c r="B9" s="58" t="s">
        <v>58</v>
      </c>
      <c r="C9" s="167">
        <v>465</v>
      </c>
      <c r="D9" s="167">
        <v>307</v>
      </c>
      <c r="E9" s="167">
        <v>340</v>
      </c>
      <c r="F9" s="167">
        <v>396</v>
      </c>
    </row>
    <row r="10" spans="1:6" ht="15" customHeight="1">
      <c r="A10" s="57">
        <v>5</v>
      </c>
      <c r="B10" s="58" t="s">
        <v>59</v>
      </c>
      <c r="C10" s="167">
        <v>389</v>
      </c>
      <c r="D10" s="167">
        <v>589</v>
      </c>
      <c r="E10" s="167">
        <v>323</v>
      </c>
      <c r="F10" s="167">
        <v>475</v>
      </c>
    </row>
    <row r="11" spans="1:6" ht="15" customHeight="1">
      <c r="A11" s="57">
        <v>6</v>
      </c>
      <c r="B11" s="175" t="s">
        <v>241</v>
      </c>
      <c r="C11" s="167">
        <v>0</v>
      </c>
      <c r="D11" s="167">
        <v>0</v>
      </c>
      <c r="E11" s="167">
        <v>0</v>
      </c>
      <c r="F11" s="167">
        <v>0</v>
      </c>
    </row>
    <row r="12" spans="1:6" ht="15" customHeight="1">
      <c r="A12" s="57">
        <v>7</v>
      </c>
      <c r="B12" s="58" t="s">
        <v>60</v>
      </c>
      <c r="C12" s="167">
        <v>677</v>
      </c>
      <c r="D12" s="167">
        <v>1790</v>
      </c>
      <c r="E12" s="167">
        <v>531</v>
      </c>
      <c r="F12" s="167">
        <v>1412</v>
      </c>
    </row>
    <row r="13" spans="1:6" ht="15" customHeight="1">
      <c r="A13" s="57">
        <v>8</v>
      </c>
      <c r="B13" s="58" t="s">
        <v>61</v>
      </c>
      <c r="C13" s="167">
        <v>678</v>
      </c>
      <c r="D13" s="167">
        <v>1047</v>
      </c>
      <c r="E13" s="167">
        <v>238</v>
      </c>
      <c r="F13" s="167">
        <v>1298</v>
      </c>
    </row>
    <row r="14" spans="1:6" ht="15" customHeight="1">
      <c r="A14" s="57">
        <v>9</v>
      </c>
      <c r="B14" s="58" t="s">
        <v>48</v>
      </c>
      <c r="C14" s="167">
        <v>1407</v>
      </c>
      <c r="D14" s="167">
        <v>2891.32</v>
      </c>
      <c r="E14" s="167">
        <v>895</v>
      </c>
      <c r="F14" s="167">
        <v>2039.61</v>
      </c>
    </row>
    <row r="15" spans="1:6" ht="15" customHeight="1">
      <c r="A15" s="57">
        <v>10</v>
      </c>
      <c r="B15" s="58" t="s">
        <v>49</v>
      </c>
      <c r="C15" s="167">
        <v>308</v>
      </c>
      <c r="D15" s="167">
        <v>512</v>
      </c>
      <c r="E15" s="167">
        <v>146</v>
      </c>
      <c r="F15" s="167">
        <v>281</v>
      </c>
    </row>
    <row r="16" spans="1:6" ht="15" customHeight="1">
      <c r="A16" s="57">
        <v>11</v>
      </c>
      <c r="B16" s="58" t="s">
        <v>81</v>
      </c>
      <c r="C16" s="167">
        <v>5038</v>
      </c>
      <c r="D16" s="167">
        <v>2175</v>
      </c>
      <c r="E16" s="167">
        <v>2730</v>
      </c>
      <c r="F16" s="167">
        <v>1366</v>
      </c>
    </row>
    <row r="17" spans="1:6" ht="15" customHeight="1">
      <c r="A17" s="57">
        <v>12</v>
      </c>
      <c r="B17" s="58" t="s">
        <v>62</v>
      </c>
      <c r="C17" s="167">
        <v>100</v>
      </c>
      <c r="D17" s="167">
        <v>114</v>
      </c>
      <c r="E17" s="167">
        <v>15</v>
      </c>
      <c r="F17" s="167">
        <v>205</v>
      </c>
    </row>
    <row r="18" spans="1:6" ht="15" customHeight="1">
      <c r="A18" s="57">
        <v>13</v>
      </c>
      <c r="B18" s="58" t="s">
        <v>63</v>
      </c>
      <c r="C18" s="167">
        <v>41</v>
      </c>
      <c r="D18" s="167">
        <v>73</v>
      </c>
      <c r="E18" s="167">
        <v>7</v>
      </c>
      <c r="F18" s="167">
        <v>11</v>
      </c>
    </row>
    <row r="19" spans="1:6" ht="15" customHeight="1">
      <c r="A19" s="57">
        <v>14</v>
      </c>
      <c r="B19" s="90" t="s">
        <v>206</v>
      </c>
      <c r="C19" s="167">
        <v>519</v>
      </c>
      <c r="D19" s="167">
        <v>1138.71</v>
      </c>
      <c r="E19" s="167">
        <v>217</v>
      </c>
      <c r="F19" s="167">
        <v>468.62</v>
      </c>
    </row>
    <row r="20" spans="1:6" ht="15" customHeight="1">
      <c r="A20" s="57">
        <v>15</v>
      </c>
      <c r="B20" s="58" t="s">
        <v>207</v>
      </c>
      <c r="C20" s="167">
        <v>35</v>
      </c>
      <c r="D20" s="167">
        <v>123.18</v>
      </c>
      <c r="E20" s="167">
        <v>10</v>
      </c>
      <c r="F20" s="167">
        <v>31.34</v>
      </c>
    </row>
    <row r="21" spans="1:6" ht="15" customHeight="1">
      <c r="A21" s="57">
        <v>16</v>
      </c>
      <c r="B21" s="58" t="s">
        <v>64</v>
      </c>
      <c r="C21" s="167">
        <v>7619</v>
      </c>
      <c r="D21" s="167">
        <v>12107</v>
      </c>
      <c r="E21" s="167">
        <v>3265</v>
      </c>
      <c r="F21" s="167">
        <v>5189</v>
      </c>
    </row>
    <row r="22" spans="1:6" ht="15" customHeight="1">
      <c r="A22" s="57">
        <v>17</v>
      </c>
      <c r="B22" s="90" t="s">
        <v>69</v>
      </c>
      <c r="C22" s="167">
        <v>10</v>
      </c>
      <c r="D22" s="167">
        <v>7.08</v>
      </c>
      <c r="E22" s="167">
        <v>5</v>
      </c>
      <c r="F22" s="167">
        <v>2.5</v>
      </c>
    </row>
    <row r="23" spans="1:6" ht="15" customHeight="1">
      <c r="A23" s="57">
        <v>18</v>
      </c>
      <c r="B23" s="58" t="s">
        <v>208</v>
      </c>
      <c r="C23" s="167">
        <v>0</v>
      </c>
      <c r="D23" s="167">
        <v>0</v>
      </c>
      <c r="E23" s="167">
        <v>0</v>
      </c>
      <c r="F23" s="167">
        <v>0</v>
      </c>
    </row>
    <row r="24" spans="1:6" ht="15" customHeight="1">
      <c r="A24" s="57">
        <v>19</v>
      </c>
      <c r="B24" s="91" t="s">
        <v>209</v>
      </c>
      <c r="C24" s="167">
        <v>23</v>
      </c>
      <c r="D24" s="167">
        <v>123.48</v>
      </c>
      <c r="E24" s="167">
        <v>3</v>
      </c>
      <c r="F24" s="167">
        <v>10.55</v>
      </c>
    </row>
    <row r="25" spans="1:6" ht="15" customHeight="1">
      <c r="A25" s="57">
        <v>20</v>
      </c>
      <c r="B25" s="58" t="s">
        <v>210</v>
      </c>
      <c r="C25" s="167">
        <v>23</v>
      </c>
      <c r="D25" s="167">
        <v>914</v>
      </c>
      <c r="E25" s="167">
        <v>18</v>
      </c>
      <c r="F25" s="167">
        <v>558</v>
      </c>
    </row>
    <row r="26" spans="1:6" ht="15" customHeight="1">
      <c r="A26" s="57">
        <v>21</v>
      </c>
      <c r="B26" s="58" t="s">
        <v>211</v>
      </c>
      <c r="C26" s="167">
        <v>114</v>
      </c>
      <c r="D26" s="167">
        <v>4915</v>
      </c>
      <c r="E26" s="167">
        <v>115</v>
      </c>
      <c r="F26" s="167">
        <v>914</v>
      </c>
    </row>
    <row r="27" spans="1:6" ht="15" customHeight="1">
      <c r="A27" s="57">
        <v>22</v>
      </c>
      <c r="B27" s="58" t="s">
        <v>70</v>
      </c>
      <c r="C27" s="167">
        <v>12986</v>
      </c>
      <c r="D27" s="167">
        <v>20057</v>
      </c>
      <c r="E27" s="167">
        <v>8710</v>
      </c>
      <c r="F27" s="167">
        <v>14320</v>
      </c>
    </row>
    <row r="28" spans="1:6" ht="15" customHeight="1">
      <c r="A28" s="57">
        <v>23</v>
      </c>
      <c r="B28" s="58" t="s">
        <v>65</v>
      </c>
      <c r="C28" s="167">
        <v>252</v>
      </c>
      <c r="D28" s="167">
        <v>534</v>
      </c>
      <c r="E28" s="167">
        <v>162</v>
      </c>
      <c r="F28" s="167">
        <v>353</v>
      </c>
    </row>
    <row r="29" spans="1:6" ht="15" customHeight="1">
      <c r="A29" s="57">
        <v>24</v>
      </c>
      <c r="B29" s="58" t="s">
        <v>212</v>
      </c>
      <c r="C29" s="167">
        <v>141</v>
      </c>
      <c r="D29" s="167">
        <v>612</v>
      </c>
      <c r="E29" s="167">
        <v>40</v>
      </c>
      <c r="F29" s="167">
        <v>42</v>
      </c>
    </row>
    <row r="30" spans="1:6" ht="15" customHeight="1">
      <c r="A30" s="57">
        <v>25</v>
      </c>
      <c r="B30" s="58" t="s">
        <v>66</v>
      </c>
      <c r="C30" s="167">
        <v>654</v>
      </c>
      <c r="D30" s="167">
        <v>344</v>
      </c>
      <c r="E30" s="167">
        <v>182</v>
      </c>
      <c r="F30" s="167">
        <v>111</v>
      </c>
    </row>
    <row r="31" spans="1:6" ht="15" customHeight="1">
      <c r="A31" s="57">
        <v>26</v>
      </c>
      <c r="B31" s="175" t="s">
        <v>67</v>
      </c>
      <c r="C31" s="167">
        <v>4</v>
      </c>
      <c r="D31" s="167">
        <v>6.6</v>
      </c>
      <c r="E31" s="167">
        <v>2</v>
      </c>
      <c r="F31" s="167">
        <v>2.0099999999999998</v>
      </c>
    </row>
    <row r="32" spans="1:6" ht="15" customHeight="1">
      <c r="A32" s="57">
        <v>27</v>
      </c>
      <c r="B32" s="58" t="s">
        <v>50</v>
      </c>
      <c r="C32" s="167">
        <v>503</v>
      </c>
      <c r="D32" s="167">
        <v>105</v>
      </c>
      <c r="E32" s="167">
        <v>322</v>
      </c>
      <c r="F32" s="167">
        <v>95</v>
      </c>
    </row>
    <row r="33" spans="1:6" s="268" customFormat="1" ht="15" customHeight="1">
      <c r="A33" s="265" t="s">
        <v>345</v>
      </c>
      <c r="B33" s="59" t="s">
        <v>286</v>
      </c>
      <c r="C33" s="169">
        <f>SUM(C6:C32)</f>
        <v>35699</v>
      </c>
      <c r="D33" s="169">
        <f t="shared" ref="D33:F33" si="0">SUM(D6:D32)</f>
        <v>57005.88</v>
      </c>
      <c r="E33" s="169">
        <f t="shared" si="0"/>
        <v>20855</v>
      </c>
      <c r="F33" s="169">
        <f t="shared" si="0"/>
        <v>31477.98</v>
      </c>
    </row>
    <row r="34" spans="1:6" ht="15" customHeight="1">
      <c r="A34" s="57">
        <v>28</v>
      </c>
      <c r="B34" s="58" t="s">
        <v>47</v>
      </c>
      <c r="C34" s="167">
        <v>5805</v>
      </c>
      <c r="D34" s="167">
        <v>1417.45</v>
      </c>
      <c r="E34" s="167">
        <v>3131</v>
      </c>
      <c r="F34" s="167">
        <v>835.13</v>
      </c>
    </row>
    <row r="35" spans="1:6" ht="15" customHeight="1">
      <c r="A35" s="57">
        <v>29</v>
      </c>
      <c r="B35" s="58" t="s">
        <v>214</v>
      </c>
      <c r="C35" s="167">
        <v>34091</v>
      </c>
      <c r="D35" s="167">
        <v>9668.17</v>
      </c>
      <c r="E35" s="167">
        <v>16277</v>
      </c>
      <c r="F35" s="167">
        <v>4249.2</v>
      </c>
    </row>
    <row r="36" spans="1:6" ht="15" customHeight="1">
      <c r="A36" s="57">
        <v>30</v>
      </c>
      <c r="B36" s="58" t="s">
        <v>215</v>
      </c>
      <c r="C36" s="167">
        <v>0</v>
      </c>
      <c r="D36" s="167">
        <v>0</v>
      </c>
      <c r="E36" s="167">
        <v>0</v>
      </c>
      <c r="F36" s="167">
        <v>0</v>
      </c>
    </row>
    <row r="37" spans="1:6" ht="15" customHeight="1">
      <c r="A37" s="57">
        <v>31</v>
      </c>
      <c r="B37" s="58" t="s">
        <v>78</v>
      </c>
      <c r="C37" s="167">
        <v>0</v>
      </c>
      <c r="D37" s="167">
        <v>0</v>
      </c>
      <c r="E37" s="167">
        <v>0</v>
      </c>
      <c r="F37" s="167">
        <v>0</v>
      </c>
    </row>
    <row r="38" spans="1:6" ht="15" customHeight="1">
      <c r="A38" s="57">
        <v>32</v>
      </c>
      <c r="B38" s="58" t="s">
        <v>51</v>
      </c>
      <c r="C38" s="167">
        <v>0</v>
      </c>
      <c r="D38" s="167">
        <v>0</v>
      </c>
      <c r="E38" s="167">
        <v>0</v>
      </c>
      <c r="F38" s="167">
        <v>0</v>
      </c>
    </row>
    <row r="39" spans="1:6" ht="15" customHeight="1">
      <c r="A39" s="57">
        <v>33</v>
      </c>
      <c r="B39" s="58" t="s">
        <v>216</v>
      </c>
      <c r="C39" s="167">
        <v>0</v>
      </c>
      <c r="D39" s="167">
        <v>0</v>
      </c>
      <c r="E39" s="167">
        <v>1</v>
      </c>
      <c r="F39" s="167">
        <v>4.5</v>
      </c>
    </row>
    <row r="40" spans="1:6" ht="15" customHeight="1">
      <c r="A40" s="57">
        <v>34</v>
      </c>
      <c r="B40" s="58" t="s">
        <v>217</v>
      </c>
      <c r="C40" s="167">
        <v>0</v>
      </c>
      <c r="D40" s="167">
        <v>0</v>
      </c>
      <c r="E40" s="167">
        <v>0</v>
      </c>
      <c r="F40" s="167">
        <v>0</v>
      </c>
    </row>
    <row r="41" spans="1:6" ht="15" customHeight="1">
      <c r="A41" s="57">
        <v>35</v>
      </c>
      <c r="B41" s="58" t="s">
        <v>218</v>
      </c>
      <c r="C41" s="167">
        <v>40</v>
      </c>
      <c r="D41" s="167">
        <v>63</v>
      </c>
      <c r="E41" s="167">
        <v>6</v>
      </c>
      <c r="F41" s="167">
        <v>4</v>
      </c>
    </row>
    <row r="42" spans="1:6" ht="15" customHeight="1">
      <c r="A42" s="57">
        <v>36</v>
      </c>
      <c r="B42" s="58" t="s">
        <v>71</v>
      </c>
      <c r="C42" s="167">
        <v>614</v>
      </c>
      <c r="D42" s="167">
        <v>3035</v>
      </c>
      <c r="E42" s="167">
        <v>461</v>
      </c>
      <c r="F42" s="167">
        <v>1131</v>
      </c>
    </row>
    <row r="43" spans="1:6" ht="15" customHeight="1">
      <c r="A43" s="57">
        <v>37</v>
      </c>
      <c r="B43" s="58" t="s">
        <v>72</v>
      </c>
      <c r="C43" s="167">
        <v>12085</v>
      </c>
      <c r="D43" s="167">
        <v>12219</v>
      </c>
      <c r="E43" s="167">
        <v>4632</v>
      </c>
      <c r="F43" s="167">
        <v>6820</v>
      </c>
    </row>
    <row r="44" spans="1:6" ht="15" customHeight="1">
      <c r="A44" s="57">
        <v>38</v>
      </c>
      <c r="B44" s="58" t="s">
        <v>219</v>
      </c>
      <c r="C44" s="167">
        <v>404</v>
      </c>
      <c r="D44" s="167">
        <v>193</v>
      </c>
      <c r="E44" s="167">
        <v>283</v>
      </c>
      <c r="F44" s="167">
        <v>119</v>
      </c>
    </row>
    <row r="45" spans="1:6" ht="15" customHeight="1">
      <c r="A45" s="57">
        <v>39</v>
      </c>
      <c r="B45" s="58" t="s">
        <v>220</v>
      </c>
      <c r="C45" s="167">
        <v>1171</v>
      </c>
      <c r="D45" s="167">
        <v>881</v>
      </c>
      <c r="E45" s="167">
        <v>844</v>
      </c>
      <c r="F45" s="167">
        <v>1017</v>
      </c>
    </row>
    <row r="46" spans="1:6" ht="15" customHeight="1">
      <c r="A46" s="57">
        <v>40</v>
      </c>
      <c r="B46" s="58" t="s">
        <v>221</v>
      </c>
      <c r="C46" s="167">
        <v>1</v>
      </c>
      <c r="D46" s="167">
        <v>1</v>
      </c>
      <c r="E46" s="167">
        <v>0</v>
      </c>
      <c r="F46" s="167">
        <v>0</v>
      </c>
    </row>
    <row r="47" spans="1:6" ht="15" customHeight="1">
      <c r="A47" s="57">
        <v>41</v>
      </c>
      <c r="B47" s="58" t="s">
        <v>222</v>
      </c>
      <c r="C47" s="167">
        <v>7</v>
      </c>
      <c r="D47" s="167">
        <v>38.76</v>
      </c>
      <c r="E47" s="167">
        <v>1</v>
      </c>
      <c r="F47" s="167">
        <v>1</v>
      </c>
    </row>
    <row r="48" spans="1:6" ht="15" customHeight="1">
      <c r="A48" s="57">
        <v>42</v>
      </c>
      <c r="B48" s="58" t="s">
        <v>223</v>
      </c>
      <c r="C48" s="167">
        <v>0</v>
      </c>
      <c r="D48" s="167">
        <v>0</v>
      </c>
      <c r="E48" s="167">
        <v>0</v>
      </c>
      <c r="F48" s="167">
        <v>0</v>
      </c>
    </row>
    <row r="49" spans="1:6" ht="15" customHeight="1">
      <c r="A49" s="57">
        <v>43</v>
      </c>
      <c r="B49" s="58" t="s">
        <v>73</v>
      </c>
      <c r="C49" s="167">
        <v>481</v>
      </c>
      <c r="D49" s="167">
        <v>770</v>
      </c>
      <c r="E49" s="167">
        <v>263</v>
      </c>
      <c r="F49" s="167">
        <v>426</v>
      </c>
    </row>
    <row r="50" spans="1:6" ht="15" customHeight="1">
      <c r="A50" s="57">
        <v>44</v>
      </c>
      <c r="B50" s="58" t="s">
        <v>224</v>
      </c>
      <c r="C50" s="167">
        <v>1</v>
      </c>
      <c r="D50" s="167">
        <v>1</v>
      </c>
      <c r="E50" s="167">
        <v>0</v>
      </c>
      <c r="F50" s="167">
        <v>0</v>
      </c>
    </row>
    <row r="51" spans="1:6" ht="15" customHeight="1">
      <c r="A51" s="57">
        <v>45</v>
      </c>
      <c r="B51" s="58" t="s">
        <v>225</v>
      </c>
      <c r="C51" s="167">
        <v>2723</v>
      </c>
      <c r="D51" s="167">
        <v>692</v>
      </c>
      <c r="E51" s="167">
        <v>1474</v>
      </c>
      <c r="F51" s="167">
        <v>373</v>
      </c>
    </row>
    <row r="52" spans="1:6" ht="15" customHeight="1">
      <c r="A52" s="57">
        <v>46</v>
      </c>
      <c r="B52" s="58" t="s">
        <v>226</v>
      </c>
      <c r="C52" s="167">
        <v>0</v>
      </c>
      <c r="D52" s="167">
        <v>0</v>
      </c>
      <c r="E52" s="167">
        <v>0</v>
      </c>
      <c r="F52" s="167">
        <v>0</v>
      </c>
    </row>
    <row r="53" spans="1:6" ht="15" customHeight="1">
      <c r="A53" s="57">
        <v>47</v>
      </c>
      <c r="B53" s="58" t="s">
        <v>77</v>
      </c>
      <c r="C53" s="167">
        <v>0</v>
      </c>
      <c r="D53" s="167">
        <v>0</v>
      </c>
      <c r="E53" s="167">
        <v>0</v>
      </c>
      <c r="F53" s="167">
        <v>0</v>
      </c>
    </row>
    <row r="54" spans="1:6" ht="15" customHeight="1">
      <c r="A54" s="57">
        <v>48</v>
      </c>
      <c r="B54" s="58" t="s">
        <v>227</v>
      </c>
      <c r="C54" s="167">
        <v>0</v>
      </c>
      <c r="D54" s="167">
        <v>0</v>
      </c>
      <c r="E54" s="167">
        <v>0</v>
      </c>
      <c r="F54" s="167">
        <v>0</v>
      </c>
    </row>
    <row r="55" spans="1:6" ht="15" customHeight="1">
      <c r="A55" s="57">
        <v>49</v>
      </c>
      <c r="B55" s="58" t="s">
        <v>76</v>
      </c>
      <c r="C55" s="167">
        <v>0</v>
      </c>
      <c r="D55" s="167">
        <v>0</v>
      </c>
      <c r="E55" s="167">
        <v>0</v>
      </c>
      <c r="F55" s="167">
        <v>0</v>
      </c>
    </row>
    <row r="56" spans="1:6" s="268" customFormat="1" ht="15" customHeight="1">
      <c r="A56" s="59" t="s">
        <v>345</v>
      </c>
      <c r="B56" s="59" t="s">
        <v>287</v>
      </c>
      <c r="C56" s="169">
        <f>SUM(C34:C55)</f>
        <v>57423</v>
      </c>
      <c r="D56" s="169">
        <f t="shared" ref="D56:F56" si="1">SUM(D34:D55)</f>
        <v>28979.38</v>
      </c>
      <c r="E56" s="169">
        <f t="shared" si="1"/>
        <v>27373</v>
      </c>
      <c r="F56" s="169">
        <f t="shared" si="1"/>
        <v>14979.83</v>
      </c>
    </row>
    <row r="57" spans="1:6" ht="15" customHeight="1">
      <c r="A57" s="57">
        <v>50</v>
      </c>
      <c r="B57" s="58" t="s">
        <v>46</v>
      </c>
      <c r="C57" s="167">
        <v>2913</v>
      </c>
      <c r="D57" s="167">
        <v>3732</v>
      </c>
      <c r="E57" s="167">
        <v>3648</v>
      </c>
      <c r="F57" s="167">
        <v>4149</v>
      </c>
    </row>
    <row r="58" spans="1:6" ht="15" customHeight="1">
      <c r="A58" s="57">
        <v>51</v>
      </c>
      <c r="B58" s="58" t="s">
        <v>228</v>
      </c>
      <c r="C58" s="167">
        <v>54712</v>
      </c>
      <c r="D58" s="167">
        <v>6584</v>
      </c>
      <c r="E58" s="167">
        <v>14450</v>
      </c>
      <c r="F58" s="167">
        <v>2467</v>
      </c>
    </row>
    <row r="59" spans="1:6" ht="15" customHeight="1">
      <c r="A59" s="57">
        <v>52</v>
      </c>
      <c r="B59" s="58" t="s">
        <v>52</v>
      </c>
      <c r="C59" s="167">
        <v>994</v>
      </c>
      <c r="D59" s="167">
        <v>962.27</v>
      </c>
      <c r="E59" s="167">
        <v>1176</v>
      </c>
      <c r="F59" s="167">
        <v>1109.98</v>
      </c>
    </row>
    <row r="60" spans="1:6" s="268" customFormat="1" ht="15" customHeight="1">
      <c r="A60" s="263" t="s">
        <v>345</v>
      </c>
      <c r="B60" s="264" t="s">
        <v>293</v>
      </c>
      <c r="C60" s="169">
        <f>SUM(C57:C59)</f>
        <v>58619</v>
      </c>
      <c r="D60" s="169">
        <f t="shared" ref="D60:F60" si="2">SUM(D57:D59)</f>
        <v>11278.27</v>
      </c>
      <c r="E60" s="169">
        <f t="shared" si="2"/>
        <v>19274</v>
      </c>
      <c r="F60" s="169">
        <f t="shared" si="2"/>
        <v>7725.98</v>
      </c>
    </row>
    <row r="61" spans="1:6" ht="15" customHeight="1">
      <c r="A61" s="260">
        <v>53</v>
      </c>
      <c r="B61" s="261" t="s">
        <v>288</v>
      </c>
      <c r="C61" s="167">
        <v>12251</v>
      </c>
      <c r="D61" s="167">
        <v>9471</v>
      </c>
      <c r="E61" s="167">
        <v>22384</v>
      </c>
      <c r="F61" s="167">
        <v>7062</v>
      </c>
    </row>
    <row r="62" spans="1:6" s="268" customFormat="1" ht="15" customHeight="1">
      <c r="A62" s="263" t="s">
        <v>345</v>
      </c>
      <c r="B62" s="264" t="s">
        <v>289</v>
      </c>
      <c r="C62" s="169">
        <f>C61</f>
        <v>12251</v>
      </c>
      <c r="D62" s="169">
        <f t="shared" ref="D62:F62" si="3">D61</f>
        <v>9471</v>
      </c>
      <c r="E62" s="169">
        <f t="shared" si="3"/>
        <v>22384</v>
      </c>
      <c r="F62" s="169">
        <f t="shared" si="3"/>
        <v>7062</v>
      </c>
    </row>
    <row r="63" spans="1:6" s="268" customFormat="1" ht="15" customHeight="1">
      <c r="A63" s="263" t="s">
        <v>345</v>
      </c>
      <c r="B63" s="264" t="s">
        <v>290</v>
      </c>
      <c r="C63" s="169">
        <f>C62+C60+C56+C33</f>
        <v>163992</v>
      </c>
      <c r="D63" s="169">
        <f t="shared" ref="D63:F63" si="4">D62+D60+D56+D33</f>
        <v>106734.53</v>
      </c>
      <c r="E63" s="169">
        <f t="shared" si="4"/>
        <v>89886</v>
      </c>
      <c r="F63" s="169">
        <f t="shared" si="4"/>
        <v>61245.789999999994</v>
      </c>
    </row>
    <row r="65" spans="1:6" ht="15" customHeight="1">
      <c r="A65" s="698" t="s">
        <v>777</v>
      </c>
      <c r="B65" s="698"/>
      <c r="C65" s="698"/>
      <c r="D65" s="698"/>
      <c r="E65" s="698"/>
      <c r="F65" s="698"/>
    </row>
  </sheetData>
  <mergeCells count="7">
    <mergeCell ref="A65:F65"/>
    <mergeCell ref="A1:F1"/>
    <mergeCell ref="B3:D3"/>
    <mergeCell ref="A4:A5"/>
    <mergeCell ref="B4:B5"/>
    <mergeCell ref="C4:D4"/>
    <mergeCell ref="E4:F4"/>
  </mergeCells>
  <conditionalFormatting sqref="B6">
    <cfRule type="duplicateValues" dxfId="14" priority="3"/>
  </conditionalFormatting>
  <conditionalFormatting sqref="B22">
    <cfRule type="duplicateValues" dxfId="13" priority="4"/>
  </conditionalFormatting>
  <conditionalFormatting sqref="B33:B34 B26:B30">
    <cfRule type="duplicateValues" dxfId="12" priority="5"/>
  </conditionalFormatting>
  <conditionalFormatting sqref="B52">
    <cfRule type="duplicateValues" dxfId="11" priority="6"/>
  </conditionalFormatting>
  <conditionalFormatting sqref="B56">
    <cfRule type="duplicateValues" dxfId="10" priority="7"/>
  </conditionalFormatting>
  <conditionalFormatting sqref="B58">
    <cfRule type="duplicateValues" dxfId="9" priority="8"/>
  </conditionalFormatting>
  <pageMargins left="0.7" right="0.7" top="0.25" bottom="0.25" header="0.3" footer="0.3"/>
  <pageSetup paperSize="9" scale="8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64"/>
  <sheetViews>
    <sheetView view="pageBreakPreview" zoomScale="60" zoomScaleNormal="100" workbookViewId="0">
      <pane xSplit="2" ySplit="5" topLeftCell="C45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RowHeight="12.75"/>
  <cols>
    <col min="1" max="1" width="6.5703125" style="198" customWidth="1"/>
    <col min="2" max="2" width="24.42578125" style="198" bestFit="1" customWidth="1"/>
    <col min="3" max="3" width="15" style="198" customWidth="1"/>
    <col min="4" max="6" width="12.42578125" style="198" customWidth="1"/>
    <col min="7" max="7" width="13" style="198" customWidth="1"/>
    <col min="8" max="8" width="11.7109375" style="198" customWidth="1"/>
    <col min="9" max="16384" width="9.140625" style="198"/>
  </cols>
  <sheetData>
    <row r="1" spans="1:8" ht="18.75">
      <c r="A1" s="662" t="s">
        <v>773</v>
      </c>
      <c r="B1" s="662"/>
      <c r="C1" s="662"/>
      <c r="D1" s="662"/>
      <c r="E1" s="662"/>
      <c r="F1" s="662"/>
      <c r="G1" s="662"/>
      <c r="H1" s="662"/>
    </row>
    <row r="2" spans="1:8" ht="14.25">
      <c r="A2" s="48"/>
      <c r="B2" s="48"/>
      <c r="C2" s="48"/>
      <c r="D2" s="48"/>
      <c r="E2" s="48"/>
      <c r="F2" s="48"/>
      <c r="G2" s="48"/>
      <c r="H2" s="48"/>
    </row>
    <row r="3" spans="1:8" ht="15.75">
      <c r="A3" s="33"/>
      <c r="B3" s="581" t="s">
        <v>12</v>
      </c>
      <c r="C3" s="581"/>
      <c r="D3" s="581"/>
      <c r="E3" s="302"/>
      <c r="F3" s="302"/>
      <c r="H3" s="197" t="s">
        <v>200</v>
      </c>
    </row>
    <row r="4" spans="1:8" ht="54.95" customHeight="1">
      <c r="A4" s="700" t="s">
        <v>230</v>
      </c>
      <c r="B4" s="700" t="s">
        <v>3</v>
      </c>
      <c r="C4" s="696" t="s">
        <v>201</v>
      </c>
      <c r="D4" s="697"/>
      <c r="E4" s="696" t="s">
        <v>202</v>
      </c>
      <c r="F4" s="697"/>
      <c r="G4" s="648" t="s">
        <v>774</v>
      </c>
      <c r="H4" s="648"/>
    </row>
    <row r="5" spans="1:8" ht="13.5">
      <c r="A5" s="701"/>
      <c r="B5" s="702"/>
      <c r="C5" s="300" t="s">
        <v>30</v>
      </c>
      <c r="D5" s="300" t="s">
        <v>17</v>
      </c>
      <c r="E5" s="300" t="s">
        <v>30</v>
      </c>
      <c r="F5" s="300" t="s">
        <v>17</v>
      </c>
      <c r="G5" s="300" t="s">
        <v>30</v>
      </c>
      <c r="H5" s="300" t="s">
        <v>17</v>
      </c>
    </row>
    <row r="6" spans="1:8" ht="15" customHeight="1">
      <c r="A6" s="118">
        <v>1</v>
      </c>
      <c r="B6" s="98" t="s">
        <v>55</v>
      </c>
      <c r="C6" s="167">
        <v>27546</v>
      </c>
      <c r="D6" s="167">
        <v>64536</v>
      </c>
      <c r="E6" s="167">
        <v>14586</v>
      </c>
      <c r="F6" s="167">
        <v>12456</v>
      </c>
      <c r="G6" s="167">
        <v>2189</v>
      </c>
      <c r="H6" s="167">
        <v>2958</v>
      </c>
    </row>
    <row r="7" spans="1:8" ht="15" customHeight="1">
      <c r="A7" s="118">
        <v>2</v>
      </c>
      <c r="B7" s="98" t="s">
        <v>56</v>
      </c>
      <c r="C7" s="167">
        <v>1937</v>
      </c>
      <c r="D7" s="167">
        <v>6316.08</v>
      </c>
      <c r="E7" s="167">
        <v>75</v>
      </c>
      <c r="F7" s="167">
        <v>54.62</v>
      </c>
      <c r="G7" s="167">
        <v>365</v>
      </c>
      <c r="H7" s="167">
        <v>1127.1199999999999</v>
      </c>
    </row>
    <row r="8" spans="1:8" ht="15" customHeight="1">
      <c r="A8" s="118">
        <v>3</v>
      </c>
      <c r="B8" s="98" t="s">
        <v>57</v>
      </c>
      <c r="C8" s="167">
        <v>77725</v>
      </c>
      <c r="D8" s="167">
        <v>70615</v>
      </c>
      <c r="E8" s="167">
        <v>16858</v>
      </c>
      <c r="F8" s="167">
        <v>9126</v>
      </c>
      <c r="G8" s="167">
        <v>1551</v>
      </c>
      <c r="H8" s="167">
        <v>306</v>
      </c>
    </row>
    <row r="9" spans="1:8" ht="15" customHeight="1">
      <c r="A9" s="118">
        <v>4</v>
      </c>
      <c r="B9" s="98" t="s">
        <v>58</v>
      </c>
      <c r="C9" s="167">
        <v>189024</v>
      </c>
      <c r="D9" s="167">
        <v>142355</v>
      </c>
      <c r="E9" s="167">
        <v>118231</v>
      </c>
      <c r="F9" s="167">
        <v>90038</v>
      </c>
      <c r="G9" s="167">
        <v>62212</v>
      </c>
      <c r="H9" s="167">
        <v>102379</v>
      </c>
    </row>
    <row r="10" spans="1:8" ht="15" customHeight="1">
      <c r="A10" s="118">
        <v>5</v>
      </c>
      <c r="B10" s="98" t="s">
        <v>59</v>
      </c>
      <c r="C10" s="167">
        <v>19805</v>
      </c>
      <c r="D10" s="167">
        <v>49371</v>
      </c>
      <c r="E10" s="167">
        <v>2803</v>
      </c>
      <c r="F10" s="167">
        <v>2493</v>
      </c>
      <c r="G10" s="167">
        <v>242</v>
      </c>
      <c r="H10" s="167">
        <v>403</v>
      </c>
    </row>
    <row r="11" spans="1:8" ht="15" customHeight="1">
      <c r="A11" s="118">
        <v>6</v>
      </c>
      <c r="B11" s="119" t="s">
        <v>241</v>
      </c>
      <c r="C11" s="167">
        <v>484</v>
      </c>
      <c r="D11" s="167">
        <v>630</v>
      </c>
      <c r="E11" s="167">
        <v>367</v>
      </c>
      <c r="F11" s="167">
        <v>570</v>
      </c>
      <c r="G11" s="167">
        <v>44</v>
      </c>
      <c r="H11" s="167">
        <v>25.42</v>
      </c>
    </row>
    <row r="12" spans="1:8" ht="15" customHeight="1">
      <c r="A12" s="118">
        <v>7</v>
      </c>
      <c r="B12" s="98" t="s">
        <v>60</v>
      </c>
      <c r="C12" s="167">
        <v>132420</v>
      </c>
      <c r="D12" s="167">
        <v>21910</v>
      </c>
      <c r="E12" s="167">
        <v>9024</v>
      </c>
      <c r="F12" s="167">
        <v>15559</v>
      </c>
      <c r="G12" s="167">
        <v>731</v>
      </c>
      <c r="H12" s="167">
        <v>3384</v>
      </c>
    </row>
    <row r="13" spans="1:8" ht="15" customHeight="1">
      <c r="A13" s="118">
        <v>8</v>
      </c>
      <c r="B13" s="98" t="s">
        <v>61</v>
      </c>
      <c r="C13" s="167">
        <v>73866</v>
      </c>
      <c r="D13" s="167">
        <v>116413</v>
      </c>
      <c r="E13" s="167">
        <v>45360</v>
      </c>
      <c r="F13" s="167">
        <v>20025</v>
      </c>
      <c r="G13" s="167">
        <v>10324</v>
      </c>
      <c r="H13" s="167">
        <v>20855</v>
      </c>
    </row>
    <row r="14" spans="1:8" ht="15" customHeight="1">
      <c r="A14" s="118">
        <v>9</v>
      </c>
      <c r="B14" s="98" t="s">
        <v>48</v>
      </c>
      <c r="C14" s="167">
        <v>3141</v>
      </c>
      <c r="D14" s="167">
        <v>9396.9599999999991</v>
      </c>
      <c r="E14" s="167">
        <v>1056</v>
      </c>
      <c r="F14" s="167">
        <v>381.33</v>
      </c>
      <c r="G14" s="167">
        <v>918</v>
      </c>
      <c r="H14" s="167">
        <v>2497.87</v>
      </c>
    </row>
    <row r="15" spans="1:8" ht="15" customHeight="1">
      <c r="A15" s="118">
        <v>10</v>
      </c>
      <c r="B15" s="98" t="s">
        <v>49</v>
      </c>
      <c r="C15" s="167">
        <v>5627</v>
      </c>
      <c r="D15" s="167">
        <v>12671</v>
      </c>
      <c r="E15" s="167">
        <v>2679</v>
      </c>
      <c r="F15" s="167">
        <v>861</v>
      </c>
      <c r="G15" s="167">
        <v>988</v>
      </c>
      <c r="H15" s="167">
        <v>2152</v>
      </c>
    </row>
    <row r="16" spans="1:8" ht="15" customHeight="1">
      <c r="A16" s="118">
        <v>11</v>
      </c>
      <c r="B16" s="98" t="s">
        <v>81</v>
      </c>
      <c r="C16" s="167">
        <v>34629</v>
      </c>
      <c r="D16" s="167">
        <v>38889</v>
      </c>
      <c r="E16" s="167">
        <v>6523</v>
      </c>
      <c r="F16" s="167">
        <v>5825</v>
      </c>
      <c r="G16" s="167">
        <v>14616</v>
      </c>
      <c r="H16" s="167">
        <v>8654</v>
      </c>
    </row>
    <row r="17" spans="1:8" ht="15" customHeight="1">
      <c r="A17" s="118">
        <v>12</v>
      </c>
      <c r="B17" s="98" t="s">
        <v>62</v>
      </c>
      <c r="C17" s="167">
        <v>984</v>
      </c>
      <c r="D17" s="167">
        <v>2589</v>
      </c>
      <c r="E17" s="167">
        <v>32</v>
      </c>
      <c r="F17" s="167">
        <v>215</v>
      </c>
      <c r="G17" s="167">
        <v>139</v>
      </c>
      <c r="H17" s="167">
        <v>572</v>
      </c>
    </row>
    <row r="18" spans="1:8" ht="15" customHeight="1">
      <c r="A18" s="118">
        <v>13</v>
      </c>
      <c r="B18" s="98" t="s">
        <v>63</v>
      </c>
      <c r="C18" s="167">
        <v>2458</v>
      </c>
      <c r="D18" s="167">
        <v>11271</v>
      </c>
      <c r="E18" s="167">
        <v>463</v>
      </c>
      <c r="F18" s="167">
        <v>183</v>
      </c>
      <c r="G18" s="167">
        <v>87</v>
      </c>
      <c r="H18" s="167">
        <v>177</v>
      </c>
    </row>
    <row r="19" spans="1:8" ht="15" customHeight="1">
      <c r="A19" s="118">
        <v>14</v>
      </c>
      <c r="B19" s="252" t="s">
        <v>206</v>
      </c>
      <c r="C19" s="167">
        <v>5762</v>
      </c>
      <c r="D19" s="167">
        <v>15738.11</v>
      </c>
      <c r="E19" s="167">
        <v>2566</v>
      </c>
      <c r="F19" s="167">
        <v>1656.41</v>
      </c>
      <c r="G19" s="167">
        <v>2173</v>
      </c>
      <c r="H19" s="167">
        <v>3313.56</v>
      </c>
    </row>
    <row r="20" spans="1:8" ht="15" customHeight="1">
      <c r="A20" s="118">
        <v>15</v>
      </c>
      <c r="B20" s="98" t="s">
        <v>207</v>
      </c>
      <c r="C20" s="167">
        <v>2637</v>
      </c>
      <c r="D20" s="167">
        <v>7270.16</v>
      </c>
      <c r="E20" s="167">
        <v>1225</v>
      </c>
      <c r="F20" s="167">
        <v>297.89</v>
      </c>
      <c r="G20" s="167">
        <v>501</v>
      </c>
      <c r="H20" s="167">
        <v>1943.35</v>
      </c>
    </row>
    <row r="21" spans="1:8" ht="15" customHeight="1">
      <c r="A21" s="118">
        <v>16</v>
      </c>
      <c r="B21" s="98" t="s">
        <v>64</v>
      </c>
      <c r="C21" s="167">
        <v>59825</v>
      </c>
      <c r="D21" s="167">
        <v>125980</v>
      </c>
      <c r="E21" s="167">
        <v>38972</v>
      </c>
      <c r="F21" s="167">
        <v>35201</v>
      </c>
      <c r="G21" s="167">
        <v>30323</v>
      </c>
      <c r="H21" s="167">
        <v>68625</v>
      </c>
    </row>
    <row r="22" spans="1:8" ht="15" customHeight="1">
      <c r="A22" s="118">
        <v>17</v>
      </c>
      <c r="B22" s="252" t="s">
        <v>69</v>
      </c>
      <c r="C22" s="167">
        <v>97</v>
      </c>
      <c r="D22" s="167">
        <v>433.62</v>
      </c>
      <c r="E22" s="167">
        <v>0</v>
      </c>
      <c r="F22" s="167">
        <v>0</v>
      </c>
      <c r="G22" s="167">
        <v>12</v>
      </c>
      <c r="H22" s="167">
        <v>56.96</v>
      </c>
    </row>
    <row r="23" spans="1:8" ht="15" customHeight="1">
      <c r="A23" s="118">
        <v>18</v>
      </c>
      <c r="B23" s="98" t="s">
        <v>208</v>
      </c>
      <c r="C23" s="167">
        <v>0</v>
      </c>
      <c r="D23" s="167">
        <v>0</v>
      </c>
      <c r="E23" s="167">
        <v>0</v>
      </c>
      <c r="F23" s="167">
        <v>0</v>
      </c>
      <c r="G23" s="167">
        <v>0</v>
      </c>
      <c r="H23" s="167">
        <v>0</v>
      </c>
    </row>
    <row r="24" spans="1:8" ht="15" customHeight="1">
      <c r="A24" s="118">
        <v>19</v>
      </c>
      <c r="B24" s="253" t="s">
        <v>209</v>
      </c>
      <c r="C24" s="167">
        <v>92</v>
      </c>
      <c r="D24" s="167">
        <v>484.91</v>
      </c>
      <c r="E24" s="167">
        <v>3</v>
      </c>
      <c r="F24" s="167">
        <v>1.5</v>
      </c>
      <c r="G24" s="167">
        <v>18</v>
      </c>
      <c r="H24" s="167">
        <v>60</v>
      </c>
    </row>
    <row r="25" spans="1:8" ht="15" customHeight="1">
      <c r="A25" s="118">
        <v>20</v>
      </c>
      <c r="B25" s="98" t="s">
        <v>210</v>
      </c>
      <c r="C25" s="167">
        <v>40</v>
      </c>
      <c r="D25" s="167">
        <v>240</v>
      </c>
      <c r="E25" s="167">
        <v>0</v>
      </c>
      <c r="F25" s="167">
        <v>0</v>
      </c>
      <c r="G25" s="167">
        <v>16</v>
      </c>
      <c r="H25" s="167">
        <v>68</v>
      </c>
    </row>
    <row r="26" spans="1:8" ht="15" customHeight="1">
      <c r="A26" s="118">
        <v>21</v>
      </c>
      <c r="B26" s="98" t="s">
        <v>211</v>
      </c>
      <c r="C26" s="167">
        <v>116</v>
      </c>
      <c r="D26" s="167">
        <v>14448</v>
      </c>
      <c r="E26" s="167">
        <v>48</v>
      </c>
      <c r="F26" s="167">
        <v>42</v>
      </c>
      <c r="G26" s="167">
        <v>68</v>
      </c>
      <c r="H26" s="167">
        <v>14406</v>
      </c>
    </row>
    <row r="27" spans="1:8" ht="15" customHeight="1">
      <c r="A27" s="118">
        <v>22</v>
      </c>
      <c r="B27" s="98" t="s">
        <v>70</v>
      </c>
      <c r="C27" s="167">
        <v>189406</v>
      </c>
      <c r="D27" s="167">
        <v>488486</v>
      </c>
      <c r="E27" s="167">
        <v>82607</v>
      </c>
      <c r="F27" s="167">
        <v>40754</v>
      </c>
      <c r="G27" s="167">
        <v>46975</v>
      </c>
      <c r="H27" s="167">
        <v>162469</v>
      </c>
    </row>
    <row r="28" spans="1:8" ht="15" customHeight="1">
      <c r="A28" s="118">
        <v>23</v>
      </c>
      <c r="B28" s="98" t="s">
        <v>65</v>
      </c>
      <c r="C28" s="167">
        <v>8579</v>
      </c>
      <c r="D28" s="167">
        <v>27692</v>
      </c>
      <c r="E28" s="167">
        <v>2125</v>
      </c>
      <c r="F28" s="167">
        <v>12110</v>
      </c>
      <c r="G28" s="167">
        <v>1229</v>
      </c>
      <c r="H28" s="167">
        <v>5882</v>
      </c>
    </row>
    <row r="29" spans="1:8" ht="15" customHeight="1">
      <c r="A29" s="118">
        <v>24</v>
      </c>
      <c r="B29" s="98" t="s">
        <v>212</v>
      </c>
      <c r="C29" s="167">
        <v>23884</v>
      </c>
      <c r="D29" s="167">
        <v>40920</v>
      </c>
      <c r="E29" s="167">
        <v>10603</v>
      </c>
      <c r="F29" s="167">
        <v>9494</v>
      </c>
      <c r="G29" s="167">
        <v>569</v>
      </c>
      <c r="H29" s="167">
        <v>1907</v>
      </c>
    </row>
    <row r="30" spans="1:8" ht="15" customHeight="1">
      <c r="A30" s="118">
        <v>25</v>
      </c>
      <c r="B30" s="98" t="s">
        <v>66</v>
      </c>
      <c r="C30" s="167">
        <v>36686</v>
      </c>
      <c r="D30" s="167">
        <v>74782</v>
      </c>
      <c r="E30" s="167">
        <v>8314</v>
      </c>
      <c r="F30" s="167">
        <v>1976</v>
      </c>
      <c r="G30" s="167">
        <v>911</v>
      </c>
      <c r="H30" s="167">
        <v>224</v>
      </c>
    </row>
    <row r="31" spans="1:8" ht="15" customHeight="1">
      <c r="A31" s="118">
        <v>26</v>
      </c>
      <c r="B31" s="119" t="s">
        <v>67</v>
      </c>
      <c r="C31" s="167">
        <v>160</v>
      </c>
      <c r="D31" s="167">
        <v>2550</v>
      </c>
      <c r="E31" s="167">
        <v>18</v>
      </c>
      <c r="F31" s="167">
        <v>18</v>
      </c>
      <c r="G31" s="167">
        <v>18</v>
      </c>
      <c r="H31" s="167">
        <v>18</v>
      </c>
    </row>
    <row r="32" spans="1:8" ht="15" customHeight="1">
      <c r="A32" s="118">
        <v>27</v>
      </c>
      <c r="B32" s="98" t="s">
        <v>50</v>
      </c>
      <c r="C32" s="167">
        <v>3985</v>
      </c>
      <c r="D32" s="167">
        <v>13617.33</v>
      </c>
      <c r="E32" s="167">
        <v>2025</v>
      </c>
      <c r="F32" s="167">
        <v>8754</v>
      </c>
      <c r="G32" s="167">
        <v>2031</v>
      </c>
      <c r="H32" s="167">
        <v>12515</v>
      </c>
    </row>
    <row r="33" spans="1:8" s="268" customFormat="1" ht="15" customHeight="1">
      <c r="A33" s="298" t="s">
        <v>345</v>
      </c>
      <c r="B33" s="105" t="s">
        <v>286</v>
      </c>
      <c r="C33" s="169">
        <f>SUM(C6:C32)</f>
        <v>900915</v>
      </c>
      <c r="D33" s="169">
        <f t="shared" ref="D33:H33" si="0">SUM(D6:D32)</f>
        <v>1359605.1700000002</v>
      </c>
      <c r="E33" s="169">
        <f t="shared" si="0"/>
        <v>366563</v>
      </c>
      <c r="F33" s="169">
        <f t="shared" si="0"/>
        <v>268091.75</v>
      </c>
      <c r="G33" s="169">
        <f t="shared" si="0"/>
        <v>179250</v>
      </c>
      <c r="H33" s="169">
        <f t="shared" si="0"/>
        <v>416978.27999999997</v>
      </c>
    </row>
    <row r="34" spans="1:8" ht="15" customHeight="1">
      <c r="A34" s="118">
        <v>28</v>
      </c>
      <c r="B34" s="98" t="s">
        <v>47</v>
      </c>
      <c r="C34" s="167">
        <v>153904</v>
      </c>
      <c r="D34" s="167">
        <v>35423.339999999997</v>
      </c>
      <c r="E34" s="167">
        <v>0</v>
      </c>
      <c r="F34" s="167">
        <v>0</v>
      </c>
      <c r="G34" s="167">
        <v>26536</v>
      </c>
      <c r="H34" s="167">
        <v>10355.26</v>
      </c>
    </row>
    <row r="35" spans="1:8" ht="15" customHeight="1">
      <c r="A35" s="118">
        <v>29</v>
      </c>
      <c r="B35" s="98" t="s">
        <v>214</v>
      </c>
      <c r="C35" s="167">
        <v>243279</v>
      </c>
      <c r="D35" s="167">
        <v>71044.47</v>
      </c>
      <c r="E35" s="167">
        <v>0</v>
      </c>
      <c r="F35" s="167">
        <v>0</v>
      </c>
      <c r="G35" s="167">
        <v>191863.64</v>
      </c>
      <c r="H35" s="167">
        <v>41544.33</v>
      </c>
    </row>
    <row r="36" spans="1:8" ht="15" customHeight="1">
      <c r="A36" s="118">
        <v>30</v>
      </c>
      <c r="B36" s="98" t="s">
        <v>215</v>
      </c>
      <c r="C36" s="167">
        <v>25</v>
      </c>
      <c r="D36" s="167">
        <v>35.369999999999997</v>
      </c>
      <c r="E36" s="167">
        <v>17</v>
      </c>
      <c r="F36" s="167">
        <v>6.93</v>
      </c>
      <c r="G36" s="167">
        <v>0</v>
      </c>
      <c r="H36" s="167">
        <v>0</v>
      </c>
    </row>
    <row r="37" spans="1:8" ht="15" customHeight="1">
      <c r="A37" s="118">
        <v>31</v>
      </c>
      <c r="B37" s="98" t="s">
        <v>78</v>
      </c>
      <c r="C37" s="167">
        <v>0</v>
      </c>
      <c r="D37" s="167">
        <v>0</v>
      </c>
      <c r="E37" s="167">
        <v>0</v>
      </c>
      <c r="F37" s="167">
        <v>0</v>
      </c>
      <c r="G37" s="167">
        <v>0</v>
      </c>
      <c r="H37" s="167">
        <v>0</v>
      </c>
    </row>
    <row r="38" spans="1:8" ht="15" customHeight="1">
      <c r="A38" s="118">
        <v>32</v>
      </c>
      <c r="B38" s="98" t="s">
        <v>51</v>
      </c>
      <c r="C38" s="167">
        <v>0</v>
      </c>
      <c r="D38" s="167">
        <v>0</v>
      </c>
      <c r="E38" s="167">
        <v>0</v>
      </c>
      <c r="F38" s="167">
        <v>0</v>
      </c>
      <c r="G38" s="167">
        <v>0</v>
      </c>
      <c r="H38" s="167">
        <v>0</v>
      </c>
    </row>
    <row r="39" spans="1:8" ht="15" customHeight="1">
      <c r="A39" s="118">
        <v>33</v>
      </c>
      <c r="B39" s="98" t="s">
        <v>216</v>
      </c>
      <c r="C39" s="167">
        <v>16117</v>
      </c>
      <c r="D39" s="167">
        <v>5511.13</v>
      </c>
      <c r="E39" s="167">
        <v>0</v>
      </c>
      <c r="F39" s="167">
        <v>0</v>
      </c>
      <c r="G39" s="167">
        <v>4503</v>
      </c>
      <c r="H39" s="167">
        <v>3083.26</v>
      </c>
    </row>
    <row r="40" spans="1:8" ht="15" customHeight="1">
      <c r="A40" s="118">
        <v>34</v>
      </c>
      <c r="B40" s="98" t="s">
        <v>217</v>
      </c>
      <c r="C40" s="167">
        <v>8</v>
      </c>
      <c r="D40" s="167">
        <v>12.66</v>
      </c>
      <c r="E40" s="167">
        <v>4</v>
      </c>
      <c r="F40" s="167">
        <v>0.97</v>
      </c>
      <c r="G40" s="167">
        <v>1</v>
      </c>
      <c r="H40" s="167">
        <v>0.27</v>
      </c>
    </row>
    <row r="41" spans="1:8" ht="15" customHeight="1">
      <c r="A41" s="118">
        <v>35</v>
      </c>
      <c r="B41" s="98" t="s">
        <v>218</v>
      </c>
      <c r="C41" s="167">
        <v>964</v>
      </c>
      <c r="D41" s="167">
        <v>1680</v>
      </c>
      <c r="E41" s="167">
        <v>2</v>
      </c>
      <c r="F41" s="167">
        <v>1</v>
      </c>
      <c r="G41" s="167">
        <v>1187</v>
      </c>
      <c r="H41" s="167">
        <v>1780</v>
      </c>
    </row>
    <row r="42" spans="1:8" ht="15" customHeight="1">
      <c r="A42" s="118">
        <v>36</v>
      </c>
      <c r="B42" s="98" t="s">
        <v>71</v>
      </c>
      <c r="C42" s="167">
        <v>152427</v>
      </c>
      <c r="D42" s="167">
        <v>52665</v>
      </c>
      <c r="E42" s="167">
        <v>113793</v>
      </c>
      <c r="F42" s="167">
        <v>15787</v>
      </c>
      <c r="G42" s="167">
        <v>90502</v>
      </c>
      <c r="H42" s="167">
        <v>42080</v>
      </c>
    </row>
    <row r="43" spans="1:8" ht="15" customHeight="1">
      <c r="A43" s="118">
        <v>37</v>
      </c>
      <c r="B43" s="98" t="s">
        <v>72</v>
      </c>
      <c r="C43" s="167">
        <v>42258</v>
      </c>
      <c r="D43" s="167">
        <v>192399</v>
      </c>
      <c r="E43" s="167">
        <v>42258</v>
      </c>
      <c r="F43" s="167">
        <v>192399</v>
      </c>
      <c r="G43" s="167">
        <v>16912</v>
      </c>
      <c r="H43" s="167">
        <v>69868</v>
      </c>
    </row>
    <row r="44" spans="1:8" ht="15" customHeight="1">
      <c r="A44" s="118">
        <v>38</v>
      </c>
      <c r="B44" s="98" t="s">
        <v>219</v>
      </c>
      <c r="C44" s="167">
        <v>100472</v>
      </c>
      <c r="D44" s="167">
        <v>13757</v>
      </c>
      <c r="E44" s="167">
        <v>100472</v>
      </c>
      <c r="F44" s="167">
        <v>13757</v>
      </c>
      <c r="G44" s="167">
        <v>143971</v>
      </c>
      <c r="H44" s="167">
        <v>21941</v>
      </c>
    </row>
    <row r="45" spans="1:8" ht="15" customHeight="1">
      <c r="A45" s="118">
        <v>39</v>
      </c>
      <c r="B45" s="98" t="s">
        <v>220</v>
      </c>
      <c r="C45" s="167">
        <v>6959</v>
      </c>
      <c r="D45" s="167">
        <v>10572</v>
      </c>
      <c r="E45" s="167">
        <v>6959</v>
      </c>
      <c r="F45" s="167">
        <v>10572</v>
      </c>
      <c r="G45" s="167">
        <v>0</v>
      </c>
      <c r="H45" s="167">
        <v>0</v>
      </c>
    </row>
    <row r="46" spans="1:8" ht="15" customHeight="1">
      <c r="A46" s="118">
        <v>40</v>
      </c>
      <c r="B46" s="98" t="s">
        <v>221</v>
      </c>
      <c r="C46" s="167">
        <v>52</v>
      </c>
      <c r="D46" s="167">
        <v>168</v>
      </c>
      <c r="E46" s="167">
        <v>2</v>
      </c>
      <c r="F46" s="167">
        <v>5</v>
      </c>
      <c r="G46" s="167">
        <v>6</v>
      </c>
      <c r="H46" s="167">
        <v>2</v>
      </c>
    </row>
    <row r="47" spans="1:8" ht="15" customHeight="1">
      <c r="A47" s="118">
        <v>41</v>
      </c>
      <c r="B47" s="98" t="s">
        <v>222</v>
      </c>
      <c r="C47" s="167">
        <v>105</v>
      </c>
      <c r="D47" s="167">
        <v>1117.5</v>
      </c>
      <c r="E47" s="167">
        <v>8</v>
      </c>
      <c r="F47" s="167">
        <v>1.2</v>
      </c>
      <c r="G47" s="167">
        <v>82</v>
      </c>
      <c r="H47" s="167">
        <v>529.73</v>
      </c>
    </row>
    <row r="48" spans="1:8" ht="15" customHeight="1">
      <c r="A48" s="118">
        <v>42</v>
      </c>
      <c r="B48" s="98" t="s">
        <v>223</v>
      </c>
      <c r="C48" s="167">
        <v>0</v>
      </c>
      <c r="D48" s="167">
        <v>0</v>
      </c>
      <c r="E48" s="167">
        <v>0</v>
      </c>
      <c r="F48" s="167">
        <v>0</v>
      </c>
      <c r="G48" s="167">
        <v>0</v>
      </c>
      <c r="H48" s="167">
        <v>0</v>
      </c>
    </row>
    <row r="49" spans="1:8" ht="15" customHeight="1">
      <c r="A49" s="118">
        <v>43</v>
      </c>
      <c r="B49" s="98" t="s">
        <v>73</v>
      </c>
      <c r="C49" s="167">
        <v>0</v>
      </c>
      <c r="D49" s="167">
        <v>0</v>
      </c>
      <c r="E49" s="167">
        <v>0</v>
      </c>
      <c r="F49" s="167">
        <v>0</v>
      </c>
      <c r="G49" s="167">
        <v>0</v>
      </c>
      <c r="H49" s="167">
        <v>0</v>
      </c>
    </row>
    <row r="50" spans="1:8" ht="15" customHeight="1">
      <c r="A50" s="118">
        <v>44</v>
      </c>
      <c r="B50" s="98" t="s">
        <v>224</v>
      </c>
      <c r="C50" s="167">
        <v>37</v>
      </c>
      <c r="D50" s="167">
        <v>393.78</v>
      </c>
      <c r="E50" s="167">
        <v>4</v>
      </c>
      <c r="F50" s="167">
        <v>1.9</v>
      </c>
      <c r="G50" s="167">
        <v>0</v>
      </c>
      <c r="H50" s="167">
        <v>0</v>
      </c>
    </row>
    <row r="51" spans="1:8" ht="15" customHeight="1">
      <c r="A51" s="118">
        <v>45</v>
      </c>
      <c r="B51" s="98" t="s">
        <v>225</v>
      </c>
      <c r="C51" s="167">
        <v>175212</v>
      </c>
      <c r="D51" s="167">
        <v>24649</v>
      </c>
      <c r="E51" s="167">
        <v>175020</v>
      </c>
      <c r="F51" s="167">
        <v>23338</v>
      </c>
      <c r="G51" s="167">
        <v>95023</v>
      </c>
      <c r="H51" s="167">
        <v>22742</v>
      </c>
    </row>
    <row r="52" spans="1:8" ht="15" customHeight="1">
      <c r="A52" s="118">
        <v>46</v>
      </c>
      <c r="B52" s="98" t="s">
        <v>226</v>
      </c>
      <c r="C52" s="167">
        <v>0</v>
      </c>
      <c r="D52" s="167">
        <v>0</v>
      </c>
      <c r="E52" s="167">
        <v>0</v>
      </c>
      <c r="F52" s="167">
        <v>0</v>
      </c>
      <c r="G52" s="167">
        <v>0</v>
      </c>
      <c r="H52" s="167">
        <v>0</v>
      </c>
    </row>
    <row r="53" spans="1:8" ht="15" customHeight="1">
      <c r="A53" s="118">
        <v>47</v>
      </c>
      <c r="B53" s="98" t="s">
        <v>77</v>
      </c>
      <c r="C53" s="167">
        <v>0</v>
      </c>
      <c r="D53" s="167">
        <v>0</v>
      </c>
      <c r="E53" s="167">
        <v>0</v>
      </c>
      <c r="F53" s="167">
        <v>0</v>
      </c>
      <c r="G53" s="167">
        <v>0</v>
      </c>
      <c r="H53" s="167">
        <v>0</v>
      </c>
    </row>
    <row r="54" spans="1:8" ht="15" customHeight="1">
      <c r="A54" s="118">
        <v>48</v>
      </c>
      <c r="B54" s="98" t="s">
        <v>227</v>
      </c>
      <c r="C54" s="167">
        <v>0</v>
      </c>
      <c r="D54" s="167">
        <v>0</v>
      </c>
      <c r="E54" s="167">
        <v>0</v>
      </c>
      <c r="F54" s="167">
        <v>0</v>
      </c>
      <c r="G54" s="167">
        <v>0</v>
      </c>
      <c r="H54" s="167">
        <v>0</v>
      </c>
    </row>
    <row r="55" spans="1:8" ht="15" customHeight="1">
      <c r="A55" s="118">
        <v>49</v>
      </c>
      <c r="B55" s="98" t="s">
        <v>76</v>
      </c>
      <c r="C55" s="167">
        <v>0</v>
      </c>
      <c r="D55" s="167">
        <v>0</v>
      </c>
      <c r="E55" s="167">
        <v>0</v>
      </c>
      <c r="F55" s="167">
        <v>0</v>
      </c>
      <c r="G55" s="167">
        <v>0</v>
      </c>
      <c r="H55" s="167">
        <v>0</v>
      </c>
    </row>
    <row r="56" spans="1:8" s="268" customFormat="1" ht="15" customHeight="1">
      <c r="A56" s="105" t="s">
        <v>345</v>
      </c>
      <c r="B56" s="105" t="s">
        <v>287</v>
      </c>
      <c r="C56" s="169">
        <f>SUM(C34:C55)</f>
        <v>891819</v>
      </c>
      <c r="D56" s="169">
        <f t="shared" ref="D56:H56" si="1">SUM(D34:D55)</f>
        <v>409428.25</v>
      </c>
      <c r="E56" s="169">
        <f t="shared" si="1"/>
        <v>438539</v>
      </c>
      <c r="F56" s="169">
        <f t="shared" si="1"/>
        <v>255870</v>
      </c>
      <c r="G56" s="169">
        <f t="shared" si="1"/>
        <v>570586.64</v>
      </c>
      <c r="H56" s="169">
        <f t="shared" si="1"/>
        <v>213925.85</v>
      </c>
    </row>
    <row r="57" spans="1:8" ht="15" customHeight="1">
      <c r="A57" s="118">
        <v>50</v>
      </c>
      <c r="B57" s="98" t="s">
        <v>46</v>
      </c>
      <c r="C57" s="167">
        <v>147752</v>
      </c>
      <c r="D57" s="167">
        <v>98348.94</v>
      </c>
      <c r="E57" s="167">
        <v>146958</v>
      </c>
      <c r="F57" s="167">
        <v>97015.02</v>
      </c>
      <c r="G57" s="167">
        <v>13330</v>
      </c>
      <c r="H57" s="167">
        <v>17690.95</v>
      </c>
    </row>
    <row r="58" spans="1:8" ht="15" customHeight="1">
      <c r="A58" s="118">
        <v>51</v>
      </c>
      <c r="B58" s="98" t="s">
        <v>228</v>
      </c>
      <c r="C58" s="167">
        <v>34952</v>
      </c>
      <c r="D58" s="167">
        <v>15966</v>
      </c>
      <c r="E58" s="167">
        <v>6098</v>
      </c>
      <c r="F58" s="167">
        <v>3571</v>
      </c>
      <c r="G58" s="167">
        <v>7974</v>
      </c>
      <c r="H58" s="167">
        <v>10033</v>
      </c>
    </row>
    <row r="59" spans="1:8" ht="15" customHeight="1">
      <c r="A59" s="118">
        <v>52</v>
      </c>
      <c r="B59" s="98" t="s">
        <v>52</v>
      </c>
      <c r="C59" s="167">
        <v>50545</v>
      </c>
      <c r="D59" s="167">
        <v>86573.62</v>
      </c>
      <c r="E59" s="167">
        <v>50043</v>
      </c>
      <c r="F59" s="167">
        <v>85196.49</v>
      </c>
      <c r="G59" s="167">
        <v>1129</v>
      </c>
      <c r="H59" s="167">
        <v>1121.5</v>
      </c>
    </row>
    <row r="60" spans="1:8" s="268" customFormat="1" ht="15" customHeight="1">
      <c r="A60" s="270" t="s">
        <v>345</v>
      </c>
      <c r="B60" s="169" t="s">
        <v>293</v>
      </c>
      <c r="C60" s="169">
        <f>SUM(C57:C59)</f>
        <v>233249</v>
      </c>
      <c r="D60" s="169">
        <f t="shared" ref="D60:H60" si="2">SUM(D57:D59)</f>
        <v>200888.56</v>
      </c>
      <c r="E60" s="169">
        <f t="shared" si="2"/>
        <v>203099</v>
      </c>
      <c r="F60" s="169">
        <f t="shared" si="2"/>
        <v>185782.51</v>
      </c>
      <c r="G60" s="169">
        <f t="shared" si="2"/>
        <v>22433</v>
      </c>
      <c r="H60" s="169">
        <f t="shared" si="2"/>
        <v>28845.45</v>
      </c>
    </row>
    <row r="61" spans="1:8" ht="15" customHeight="1">
      <c r="A61" s="269">
        <v>53</v>
      </c>
      <c r="B61" s="167" t="s">
        <v>288</v>
      </c>
      <c r="C61" s="167">
        <v>119416.14</v>
      </c>
      <c r="D61" s="167">
        <v>109166.61</v>
      </c>
      <c r="E61" s="167"/>
      <c r="F61" s="167"/>
      <c r="G61" s="167"/>
      <c r="H61" s="167"/>
    </row>
    <row r="62" spans="1:8" s="268" customFormat="1" ht="15" customHeight="1">
      <c r="A62" s="270" t="s">
        <v>345</v>
      </c>
      <c r="B62" s="169" t="s">
        <v>289</v>
      </c>
      <c r="C62" s="169">
        <f>C61</f>
        <v>119416.14</v>
      </c>
      <c r="D62" s="169">
        <f t="shared" ref="D62:H62" si="3">D61</f>
        <v>109166.61</v>
      </c>
      <c r="E62" s="169">
        <f t="shared" si="3"/>
        <v>0</v>
      </c>
      <c r="F62" s="169">
        <f t="shared" si="3"/>
        <v>0</v>
      </c>
      <c r="G62" s="169">
        <f t="shared" si="3"/>
        <v>0</v>
      </c>
      <c r="H62" s="169">
        <f t="shared" si="3"/>
        <v>0</v>
      </c>
    </row>
    <row r="63" spans="1:8" s="268" customFormat="1" ht="15" customHeight="1">
      <c r="A63" s="270" t="s">
        <v>345</v>
      </c>
      <c r="B63" s="169" t="s">
        <v>290</v>
      </c>
      <c r="C63" s="169">
        <f>C62+C60+C56+C33</f>
        <v>2145399.14</v>
      </c>
      <c r="D63" s="169">
        <f t="shared" ref="D63:H63" si="4">D62+D60+D56+D33</f>
        <v>2079088.59</v>
      </c>
      <c r="E63" s="169">
        <f t="shared" si="4"/>
        <v>1008201</v>
      </c>
      <c r="F63" s="169">
        <f t="shared" si="4"/>
        <v>709744.26</v>
      </c>
      <c r="G63" s="169">
        <f t="shared" si="4"/>
        <v>772269.64</v>
      </c>
      <c r="H63" s="169">
        <f t="shared" si="4"/>
        <v>659749.57999999996</v>
      </c>
    </row>
    <row r="64" spans="1:8" ht="15" customHeight="1">
      <c r="A64" s="699" t="s">
        <v>777</v>
      </c>
      <c r="B64" s="699"/>
      <c r="C64" s="699"/>
      <c r="D64" s="699"/>
      <c r="E64" s="699"/>
      <c r="F64" s="699"/>
      <c r="G64" s="699"/>
      <c r="H64" s="699"/>
    </row>
  </sheetData>
  <mergeCells count="8">
    <mergeCell ref="A64:H64"/>
    <mergeCell ref="A1:H1"/>
    <mergeCell ref="B3:D3"/>
    <mergeCell ref="A4:A5"/>
    <mergeCell ref="B4:B5"/>
    <mergeCell ref="C4:D4"/>
    <mergeCell ref="G4:H4"/>
    <mergeCell ref="E4:F4"/>
  </mergeCells>
  <conditionalFormatting sqref="B6">
    <cfRule type="duplicateValues" dxfId="8" priority="2"/>
  </conditionalFormatting>
  <conditionalFormatting sqref="B22">
    <cfRule type="duplicateValues" dxfId="7" priority="3"/>
  </conditionalFormatting>
  <conditionalFormatting sqref="B33:B34 B26:B30">
    <cfRule type="duplicateValues" dxfId="6" priority="4"/>
  </conditionalFormatting>
  <conditionalFormatting sqref="B52">
    <cfRule type="duplicateValues" dxfId="5" priority="5"/>
  </conditionalFormatting>
  <conditionalFormatting sqref="B56">
    <cfRule type="duplicateValues" dxfId="4" priority="6"/>
  </conditionalFormatting>
  <conditionalFormatting sqref="B58">
    <cfRule type="duplicateValues" dxfId="3" priority="7"/>
  </conditionalFormatting>
  <pageMargins left="0.7" right="0.7" top="0.75" bottom="0.75" header="0.3" footer="0.3"/>
  <pageSetup paperSize="9" scale="7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view="pageBreakPreview" zoomScale="60" zoomScaleNormal="100" workbookViewId="0">
      <pane xSplit="2" ySplit="10" topLeftCell="C53" activePane="bottomRight" state="frozen"/>
      <selection pane="topRight" activeCell="C1" sqref="C1"/>
      <selection pane="bottomLeft" activeCell="A12" sqref="A12"/>
      <selection pane="bottomRight" activeCell="L14" sqref="L14"/>
    </sheetView>
  </sheetViews>
  <sheetFormatPr defaultRowHeight="12.75"/>
  <cols>
    <col min="1" max="1" width="9.140625" style="409"/>
    <col min="2" max="2" width="16.85546875" style="409" customWidth="1"/>
    <col min="3" max="3" width="29.5703125" style="409" customWidth="1"/>
    <col min="4" max="4" width="12.28515625" style="409" customWidth="1"/>
    <col min="5" max="5" width="17.140625" style="409" customWidth="1"/>
    <col min="6" max="6" width="15.5703125" style="409" customWidth="1"/>
    <col min="7" max="16384" width="9.140625" style="409"/>
  </cols>
  <sheetData>
    <row r="1" spans="1:9" ht="31.5" customHeight="1">
      <c r="A1" s="703" t="s">
        <v>349</v>
      </c>
      <c r="B1" s="703"/>
      <c r="C1" s="703"/>
      <c r="D1" s="703"/>
      <c r="E1" s="703"/>
      <c r="F1" s="703"/>
    </row>
    <row r="2" spans="1:9" ht="2.25" customHeight="1">
      <c r="A2" s="327"/>
      <c r="B2" s="327"/>
      <c r="C2" s="327"/>
      <c r="D2" s="327"/>
      <c r="E2" s="327"/>
      <c r="F2" s="327"/>
    </row>
    <row r="3" spans="1:9" ht="14.25">
      <c r="A3" s="704" t="s">
        <v>1156</v>
      </c>
      <c r="B3" s="704"/>
      <c r="C3" s="704"/>
      <c r="D3" s="704"/>
      <c r="E3" s="704"/>
      <c r="F3" s="704"/>
    </row>
    <row r="4" spans="1:9">
      <c r="A4" s="480"/>
      <c r="B4" s="480"/>
      <c r="C4" s="480"/>
      <c r="D4" s="480"/>
      <c r="E4" s="705" t="s">
        <v>350</v>
      </c>
      <c r="F4" s="705"/>
    </row>
    <row r="5" spans="1:9">
      <c r="A5" s="486" t="s">
        <v>351</v>
      </c>
      <c r="B5" s="480"/>
      <c r="C5" s="480"/>
      <c r="D5" s="480"/>
      <c r="E5" s="480"/>
      <c r="F5" s="480"/>
    </row>
    <row r="6" spans="1:9">
      <c r="A6" s="486" t="s">
        <v>352</v>
      </c>
      <c r="B6" s="480"/>
      <c r="C6" s="480"/>
      <c r="D6" s="486" t="s">
        <v>458</v>
      </c>
      <c r="E6" s="480"/>
      <c r="F6" s="480"/>
    </row>
    <row r="7" spans="1:9">
      <c r="A7" s="481"/>
      <c r="B7" s="482"/>
      <c r="C7" s="482"/>
      <c r="D7" s="482"/>
      <c r="E7" s="482"/>
      <c r="F7" s="483"/>
    </row>
    <row r="8" spans="1:9" ht="32.25" customHeight="1">
      <c r="A8" s="706" t="s">
        <v>104</v>
      </c>
      <c r="B8" s="706" t="s">
        <v>353</v>
      </c>
      <c r="C8" s="707" t="s">
        <v>354</v>
      </c>
      <c r="D8" s="707" t="s">
        <v>355</v>
      </c>
      <c r="E8" s="708" t="s">
        <v>356</v>
      </c>
      <c r="F8" s="709"/>
      <c r="G8" s="390"/>
      <c r="H8" s="390"/>
      <c r="I8" s="390"/>
    </row>
    <row r="9" spans="1:9" ht="35.1" customHeight="1">
      <c r="A9" s="706"/>
      <c r="B9" s="706"/>
      <c r="C9" s="707"/>
      <c r="D9" s="707"/>
      <c r="E9" s="710" t="s">
        <v>1150</v>
      </c>
      <c r="F9" s="710" t="s">
        <v>1151</v>
      </c>
      <c r="G9" s="390"/>
      <c r="H9" s="390"/>
      <c r="I9" s="390"/>
    </row>
    <row r="10" spans="1:9" ht="35.1" customHeight="1">
      <c r="A10" s="706"/>
      <c r="B10" s="706"/>
      <c r="C10" s="707"/>
      <c r="D10" s="707"/>
      <c r="E10" s="711"/>
      <c r="F10" s="711"/>
      <c r="G10" s="390"/>
      <c r="H10" s="390"/>
      <c r="I10" s="390"/>
    </row>
    <row r="11" spans="1:9" ht="25.5">
      <c r="A11" s="391">
        <v>1</v>
      </c>
      <c r="B11" s="478" t="s">
        <v>357</v>
      </c>
      <c r="C11" s="478" t="s">
        <v>358</v>
      </c>
      <c r="D11" s="479" t="s">
        <v>455</v>
      </c>
      <c r="E11" s="391">
        <v>0</v>
      </c>
      <c r="F11" s="391">
        <v>0</v>
      </c>
      <c r="G11" s="390"/>
      <c r="H11" s="390"/>
      <c r="I11" s="390"/>
    </row>
    <row r="12" spans="1:9">
      <c r="A12" s="391"/>
      <c r="B12" s="478"/>
      <c r="C12" s="478" t="s">
        <v>360</v>
      </c>
      <c r="D12" s="479" t="s">
        <v>361</v>
      </c>
      <c r="E12" s="391">
        <v>0</v>
      </c>
      <c r="F12" s="391">
        <v>0</v>
      </c>
      <c r="G12" s="390"/>
      <c r="H12" s="390"/>
      <c r="I12" s="390"/>
    </row>
    <row r="13" spans="1:9">
      <c r="A13" s="391"/>
      <c r="B13" s="478"/>
      <c r="C13" s="478" t="s">
        <v>362</v>
      </c>
      <c r="D13" s="479" t="s">
        <v>363</v>
      </c>
      <c r="E13" s="391">
        <v>0</v>
      </c>
      <c r="F13" s="391">
        <v>0</v>
      </c>
      <c r="G13" s="390"/>
      <c r="H13" s="390"/>
      <c r="I13" s="390"/>
    </row>
    <row r="14" spans="1:9" ht="25.5">
      <c r="A14" s="391"/>
      <c r="B14" s="478"/>
      <c r="C14" s="478" t="s">
        <v>364</v>
      </c>
      <c r="D14" s="479" t="s">
        <v>365</v>
      </c>
      <c r="E14" s="391">
        <v>0</v>
      </c>
      <c r="F14" s="391">
        <v>0</v>
      </c>
      <c r="G14" s="390"/>
      <c r="H14" s="390"/>
      <c r="I14" s="390"/>
    </row>
    <row r="15" spans="1:9">
      <c r="A15" s="391"/>
      <c r="B15" s="478"/>
      <c r="C15" s="478" t="s">
        <v>366</v>
      </c>
      <c r="D15" s="479" t="s">
        <v>367</v>
      </c>
      <c r="E15" s="391">
        <v>0</v>
      </c>
      <c r="F15" s="391">
        <v>0</v>
      </c>
      <c r="G15" s="390"/>
      <c r="H15" s="390"/>
      <c r="I15" s="390"/>
    </row>
    <row r="16" spans="1:9">
      <c r="A16" s="391"/>
      <c r="B16" s="478"/>
      <c r="C16" s="478" t="s">
        <v>368</v>
      </c>
      <c r="D16" s="479" t="s">
        <v>369</v>
      </c>
      <c r="E16" s="391">
        <v>1</v>
      </c>
      <c r="F16" s="391">
        <v>1</v>
      </c>
      <c r="G16" s="390"/>
      <c r="H16" s="390"/>
      <c r="I16" s="390"/>
    </row>
    <row r="17" spans="1:9">
      <c r="A17" s="391"/>
      <c r="B17" s="478"/>
      <c r="C17" s="478"/>
      <c r="D17" s="479"/>
      <c r="E17" s="391"/>
      <c r="F17" s="391"/>
      <c r="G17" s="390"/>
      <c r="H17" s="390"/>
      <c r="I17" s="390"/>
    </row>
    <row r="18" spans="1:9">
      <c r="A18" s="391">
        <v>2</v>
      </c>
      <c r="B18" s="478" t="s">
        <v>278</v>
      </c>
      <c r="C18" s="484" t="s">
        <v>370</v>
      </c>
      <c r="D18" s="479" t="s">
        <v>371</v>
      </c>
      <c r="E18" s="391">
        <v>0</v>
      </c>
      <c r="F18" s="391">
        <v>0</v>
      </c>
      <c r="G18" s="390"/>
      <c r="H18" s="390"/>
      <c r="I18" s="390"/>
    </row>
    <row r="19" spans="1:9">
      <c r="A19" s="391"/>
      <c r="B19" s="478"/>
      <c r="C19" s="478" t="s">
        <v>372</v>
      </c>
      <c r="D19" s="479" t="s">
        <v>373</v>
      </c>
      <c r="E19" s="391">
        <v>0</v>
      </c>
      <c r="F19" s="391">
        <v>0</v>
      </c>
      <c r="G19" s="390"/>
      <c r="H19" s="390"/>
      <c r="I19" s="390"/>
    </row>
    <row r="20" spans="1:9">
      <c r="A20" s="391"/>
      <c r="B20" s="478"/>
      <c r="C20" s="478"/>
      <c r="D20" s="479"/>
      <c r="E20" s="391"/>
      <c r="F20" s="391"/>
      <c r="G20" s="390"/>
      <c r="H20" s="390"/>
      <c r="I20" s="390"/>
    </row>
    <row r="21" spans="1:9">
      <c r="A21" s="391">
        <v>3</v>
      </c>
      <c r="B21" s="478" t="s">
        <v>279</v>
      </c>
      <c r="C21" s="478" t="s">
        <v>374</v>
      </c>
      <c r="D21" s="479" t="s">
        <v>375</v>
      </c>
      <c r="E21" s="391">
        <v>0</v>
      </c>
      <c r="F21" s="391">
        <v>0</v>
      </c>
      <c r="G21" s="390"/>
      <c r="H21" s="390"/>
      <c r="I21" s="390"/>
    </row>
    <row r="22" spans="1:9">
      <c r="A22" s="391"/>
      <c r="B22" s="478"/>
      <c r="C22" s="478" t="s">
        <v>376</v>
      </c>
      <c r="D22" s="479" t="s">
        <v>377</v>
      </c>
      <c r="E22" s="391">
        <v>0</v>
      </c>
      <c r="F22" s="391">
        <v>0</v>
      </c>
      <c r="G22" s="390"/>
      <c r="H22" s="390"/>
      <c r="I22" s="390"/>
    </row>
    <row r="23" spans="1:9">
      <c r="A23" s="391"/>
      <c r="B23" s="478"/>
      <c r="C23" s="478" t="s">
        <v>378</v>
      </c>
      <c r="D23" s="479" t="s">
        <v>379</v>
      </c>
      <c r="E23" s="391">
        <v>0</v>
      </c>
      <c r="F23" s="391">
        <v>0</v>
      </c>
      <c r="G23" s="390"/>
      <c r="H23" s="390"/>
      <c r="I23" s="390"/>
    </row>
    <row r="24" spans="1:9">
      <c r="A24" s="391"/>
      <c r="B24" s="478"/>
      <c r="C24" s="478" t="s">
        <v>380</v>
      </c>
      <c r="D24" s="479" t="s">
        <v>381</v>
      </c>
      <c r="E24" s="391">
        <v>0</v>
      </c>
      <c r="F24" s="391">
        <v>0</v>
      </c>
      <c r="G24" s="390"/>
      <c r="H24" s="390"/>
      <c r="I24" s="390"/>
    </row>
    <row r="25" spans="1:9">
      <c r="A25" s="391"/>
      <c r="B25" s="478"/>
      <c r="C25" s="478" t="s">
        <v>382</v>
      </c>
      <c r="D25" s="479" t="s">
        <v>383</v>
      </c>
      <c r="E25" s="391">
        <v>0</v>
      </c>
      <c r="F25" s="391">
        <v>0</v>
      </c>
      <c r="G25" s="390"/>
      <c r="H25" s="390"/>
      <c r="I25" s="390"/>
    </row>
    <row r="26" spans="1:9">
      <c r="A26" s="391"/>
      <c r="B26" s="478"/>
      <c r="C26" s="478" t="s">
        <v>384</v>
      </c>
      <c r="D26" s="479" t="s">
        <v>385</v>
      </c>
      <c r="E26" s="391">
        <v>0</v>
      </c>
      <c r="F26" s="391">
        <v>0</v>
      </c>
      <c r="G26" s="390"/>
      <c r="H26" s="390"/>
      <c r="I26" s="390"/>
    </row>
    <row r="27" spans="1:9">
      <c r="A27" s="391"/>
      <c r="B27" s="478"/>
      <c r="C27" s="478" t="s">
        <v>386</v>
      </c>
      <c r="D27" s="479" t="s">
        <v>387</v>
      </c>
      <c r="E27" s="391">
        <v>0</v>
      </c>
      <c r="F27" s="391">
        <v>0</v>
      </c>
      <c r="G27" s="390"/>
      <c r="H27" s="390"/>
      <c r="I27" s="390"/>
    </row>
    <row r="28" spans="1:9">
      <c r="A28" s="391"/>
      <c r="B28" s="478"/>
      <c r="C28" s="478" t="s">
        <v>388</v>
      </c>
      <c r="D28" s="479" t="s">
        <v>389</v>
      </c>
      <c r="E28" s="391">
        <v>0</v>
      </c>
      <c r="F28" s="391">
        <v>0</v>
      </c>
      <c r="G28" s="390"/>
      <c r="H28" s="390"/>
      <c r="I28" s="390"/>
    </row>
    <row r="29" spans="1:9">
      <c r="A29" s="391"/>
      <c r="B29" s="478"/>
      <c r="C29" s="478" t="s">
        <v>390</v>
      </c>
      <c r="D29" s="479" t="s">
        <v>391</v>
      </c>
      <c r="E29" s="391">
        <v>0</v>
      </c>
      <c r="F29" s="391">
        <v>0</v>
      </c>
      <c r="G29" s="390"/>
      <c r="H29" s="390"/>
      <c r="I29" s="390"/>
    </row>
    <row r="30" spans="1:9">
      <c r="A30" s="391"/>
      <c r="B30" s="478"/>
      <c r="C30" s="478" t="s">
        <v>392</v>
      </c>
      <c r="D30" s="479" t="s">
        <v>393</v>
      </c>
      <c r="E30" s="391">
        <v>0</v>
      </c>
      <c r="F30" s="391">
        <v>0</v>
      </c>
      <c r="G30" s="390"/>
      <c r="H30" s="390"/>
      <c r="I30" s="390"/>
    </row>
    <row r="31" spans="1:9">
      <c r="A31" s="391"/>
      <c r="B31" s="478"/>
      <c r="C31" s="478"/>
      <c r="D31" s="479"/>
      <c r="E31" s="478"/>
      <c r="F31" s="478"/>
      <c r="G31" s="390"/>
      <c r="H31" s="390"/>
      <c r="I31" s="390"/>
    </row>
    <row r="32" spans="1:9">
      <c r="A32" s="391">
        <v>4</v>
      </c>
      <c r="B32" s="478" t="s">
        <v>394</v>
      </c>
      <c r="C32" s="478" t="s">
        <v>395</v>
      </c>
      <c r="D32" s="479" t="s">
        <v>396</v>
      </c>
      <c r="E32" s="391">
        <v>0</v>
      </c>
      <c r="F32" s="391">
        <v>0</v>
      </c>
      <c r="G32" s="390"/>
      <c r="H32" s="390"/>
      <c r="I32" s="390"/>
    </row>
    <row r="33" spans="1:9">
      <c r="A33" s="391"/>
      <c r="B33" s="478"/>
      <c r="C33" s="478"/>
      <c r="D33" s="479"/>
      <c r="E33" s="478"/>
      <c r="F33" s="478"/>
      <c r="G33" s="390"/>
      <c r="H33" s="390"/>
      <c r="I33" s="390"/>
    </row>
    <row r="34" spans="1:9">
      <c r="A34" s="391">
        <v>5</v>
      </c>
      <c r="B34" s="478" t="s">
        <v>397</v>
      </c>
      <c r="C34" s="478" t="s">
        <v>398</v>
      </c>
      <c r="D34" s="479" t="s">
        <v>399</v>
      </c>
      <c r="E34" s="391">
        <v>0</v>
      </c>
      <c r="F34" s="391">
        <v>0</v>
      </c>
      <c r="G34" s="390"/>
      <c r="H34" s="390"/>
      <c r="I34" s="390"/>
    </row>
    <row r="35" spans="1:9">
      <c r="A35" s="391"/>
      <c r="B35" s="478"/>
      <c r="C35" s="478" t="s">
        <v>400</v>
      </c>
      <c r="D35" s="479" t="s">
        <v>401</v>
      </c>
      <c r="E35" s="391">
        <v>0</v>
      </c>
      <c r="F35" s="391">
        <v>0</v>
      </c>
      <c r="G35" s="390"/>
      <c r="H35" s="390"/>
      <c r="I35" s="390"/>
    </row>
    <row r="36" spans="1:9">
      <c r="A36" s="391"/>
      <c r="B36" s="478"/>
      <c r="C36" s="478"/>
      <c r="D36" s="479"/>
      <c r="E36" s="391"/>
      <c r="F36" s="391"/>
      <c r="G36" s="390"/>
      <c r="H36" s="390"/>
      <c r="I36" s="390"/>
    </row>
    <row r="37" spans="1:9">
      <c r="A37" s="391">
        <v>6</v>
      </c>
      <c r="B37" s="478" t="s">
        <v>280</v>
      </c>
      <c r="C37" s="478" t="s">
        <v>402</v>
      </c>
      <c r="D37" s="479" t="s">
        <v>403</v>
      </c>
      <c r="E37" s="391">
        <v>0</v>
      </c>
      <c r="F37" s="391">
        <v>0</v>
      </c>
      <c r="G37" s="390"/>
      <c r="H37" s="390"/>
      <c r="I37" s="390"/>
    </row>
    <row r="38" spans="1:9">
      <c r="A38" s="391"/>
      <c r="B38" s="478"/>
      <c r="C38" s="478"/>
      <c r="D38" s="479"/>
      <c r="E38" s="391"/>
      <c r="F38" s="391"/>
      <c r="G38" s="390"/>
      <c r="H38" s="390"/>
      <c r="I38" s="390"/>
    </row>
    <row r="39" spans="1:9">
      <c r="A39" s="391">
        <v>7</v>
      </c>
      <c r="B39" s="478" t="s">
        <v>404</v>
      </c>
      <c r="C39" s="478" t="s">
        <v>405</v>
      </c>
      <c r="D39" s="479" t="s">
        <v>406</v>
      </c>
      <c r="E39" s="391">
        <v>0</v>
      </c>
      <c r="F39" s="391">
        <v>0</v>
      </c>
      <c r="G39" s="390"/>
      <c r="H39" s="390"/>
      <c r="I39" s="390"/>
    </row>
    <row r="40" spans="1:9">
      <c r="A40" s="391"/>
      <c r="B40" s="478"/>
      <c r="C40" s="478" t="s">
        <v>407</v>
      </c>
      <c r="D40" s="479" t="s">
        <v>408</v>
      </c>
      <c r="E40" s="391">
        <v>0</v>
      </c>
      <c r="F40" s="391">
        <v>0</v>
      </c>
      <c r="G40" s="390"/>
      <c r="H40" s="390"/>
      <c r="I40" s="390"/>
    </row>
    <row r="41" spans="1:9">
      <c r="A41" s="391"/>
      <c r="B41" s="478"/>
      <c r="C41" s="478" t="s">
        <v>409</v>
      </c>
      <c r="D41" s="479" t="s">
        <v>410</v>
      </c>
      <c r="E41" s="391">
        <v>0</v>
      </c>
      <c r="F41" s="391">
        <v>0</v>
      </c>
      <c r="G41" s="390"/>
      <c r="H41" s="390"/>
      <c r="I41" s="390"/>
    </row>
    <row r="42" spans="1:9">
      <c r="A42" s="391"/>
      <c r="B42" s="478"/>
      <c r="C42" s="478" t="s">
        <v>411</v>
      </c>
      <c r="D42" s="479" t="s">
        <v>412</v>
      </c>
      <c r="E42" s="391">
        <v>0</v>
      </c>
      <c r="F42" s="391">
        <v>0</v>
      </c>
      <c r="G42" s="390"/>
      <c r="H42" s="390"/>
      <c r="I42" s="390"/>
    </row>
    <row r="43" spans="1:9">
      <c r="A43" s="391"/>
      <c r="B43" s="478"/>
      <c r="C43" s="478"/>
      <c r="D43" s="479"/>
      <c r="E43" s="478"/>
      <c r="F43" s="478"/>
      <c r="G43" s="390"/>
      <c r="H43" s="390"/>
      <c r="I43" s="390"/>
    </row>
    <row r="44" spans="1:9">
      <c r="A44" s="391">
        <v>8</v>
      </c>
      <c r="B44" s="478" t="s">
        <v>413</v>
      </c>
      <c r="C44" s="478" t="s">
        <v>414</v>
      </c>
      <c r="D44" s="479" t="s">
        <v>415</v>
      </c>
      <c r="E44" s="391">
        <v>0</v>
      </c>
      <c r="F44" s="391">
        <v>0</v>
      </c>
      <c r="G44" s="390"/>
      <c r="H44" s="390"/>
      <c r="I44" s="390"/>
    </row>
    <row r="45" spans="1:9">
      <c r="A45" s="391"/>
      <c r="B45" s="478"/>
      <c r="C45" s="478"/>
      <c r="D45" s="479"/>
      <c r="E45" s="478"/>
      <c r="F45" s="478"/>
      <c r="G45" s="390"/>
      <c r="H45" s="390"/>
      <c r="I45" s="390"/>
    </row>
    <row r="46" spans="1:9">
      <c r="A46" s="391">
        <v>9</v>
      </c>
      <c r="B46" s="478" t="s">
        <v>416</v>
      </c>
      <c r="C46" s="478" t="s">
        <v>417</v>
      </c>
      <c r="D46" s="479" t="s">
        <v>418</v>
      </c>
      <c r="E46" s="391">
        <v>0</v>
      </c>
      <c r="F46" s="391">
        <v>0</v>
      </c>
      <c r="G46" s="390"/>
      <c r="H46" s="390"/>
      <c r="I46" s="390"/>
    </row>
    <row r="47" spans="1:9">
      <c r="A47" s="391"/>
      <c r="B47" s="478"/>
      <c r="C47" s="478" t="s">
        <v>419</v>
      </c>
      <c r="D47" s="479" t="s">
        <v>420</v>
      </c>
      <c r="E47" s="391">
        <v>0</v>
      </c>
      <c r="F47" s="391">
        <v>0</v>
      </c>
      <c r="G47" s="390"/>
      <c r="H47" s="390"/>
      <c r="I47" s="390"/>
    </row>
    <row r="48" spans="1:9" ht="25.5">
      <c r="A48" s="391"/>
      <c r="B48" s="478"/>
      <c r="C48" s="478" t="s">
        <v>421</v>
      </c>
      <c r="D48" s="479" t="s">
        <v>422</v>
      </c>
      <c r="E48" s="485">
        <v>1</v>
      </c>
      <c r="F48" s="485" t="s">
        <v>423</v>
      </c>
      <c r="G48" s="390"/>
      <c r="H48" s="390"/>
      <c r="I48" s="390"/>
    </row>
    <row r="49" spans="1:9">
      <c r="A49" s="391"/>
      <c r="B49" s="478"/>
      <c r="C49" s="478"/>
      <c r="D49" s="479"/>
      <c r="E49" s="478"/>
      <c r="F49" s="478"/>
      <c r="G49" s="390"/>
      <c r="H49" s="390"/>
      <c r="I49" s="390"/>
    </row>
    <row r="50" spans="1:9">
      <c r="A50" s="391">
        <v>10</v>
      </c>
      <c r="B50" s="478" t="s">
        <v>424</v>
      </c>
      <c r="C50" s="478" t="s">
        <v>425</v>
      </c>
      <c r="D50" s="479" t="s">
        <v>426</v>
      </c>
      <c r="E50" s="391">
        <v>1</v>
      </c>
      <c r="F50" s="391">
        <v>1</v>
      </c>
      <c r="G50" s="390"/>
      <c r="H50" s="390"/>
      <c r="I50" s="390"/>
    </row>
    <row r="51" spans="1:9">
      <c r="A51" s="391"/>
      <c r="B51" s="478"/>
      <c r="C51" s="478" t="s">
        <v>427</v>
      </c>
      <c r="D51" s="479" t="s">
        <v>428</v>
      </c>
      <c r="E51" s="391">
        <v>1</v>
      </c>
      <c r="F51" s="391">
        <v>1</v>
      </c>
      <c r="G51" s="390"/>
      <c r="H51" s="390"/>
      <c r="I51" s="390"/>
    </row>
    <row r="52" spans="1:9">
      <c r="A52" s="391"/>
      <c r="B52" s="478"/>
      <c r="C52" s="478"/>
      <c r="D52" s="479"/>
      <c r="E52" s="391"/>
      <c r="F52" s="391"/>
      <c r="G52" s="390"/>
      <c r="H52" s="390"/>
      <c r="I52" s="390"/>
    </row>
    <row r="53" spans="1:9">
      <c r="A53" s="391">
        <v>11</v>
      </c>
      <c r="B53" s="478" t="s">
        <v>281</v>
      </c>
      <c r="C53" s="478" t="s">
        <v>429</v>
      </c>
      <c r="D53" s="479" t="s">
        <v>430</v>
      </c>
      <c r="E53" s="391">
        <v>0</v>
      </c>
      <c r="F53" s="391">
        <v>0</v>
      </c>
      <c r="G53" s="390"/>
      <c r="H53" s="390"/>
      <c r="I53" s="390"/>
    </row>
    <row r="54" spans="1:9">
      <c r="A54" s="391"/>
      <c r="B54" s="478"/>
      <c r="C54" s="478" t="s">
        <v>431</v>
      </c>
      <c r="D54" s="479" t="s">
        <v>432</v>
      </c>
      <c r="E54" s="391">
        <v>0</v>
      </c>
      <c r="F54" s="391">
        <v>0</v>
      </c>
      <c r="G54" s="390"/>
      <c r="H54" s="390"/>
      <c r="I54" s="390"/>
    </row>
    <row r="55" spans="1:9">
      <c r="A55" s="391"/>
      <c r="B55" s="478"/>
      <c r="C55" s="478" t="s">
        <v>433</v>
      </c>
      <c r="D55" s="479" t="s">
        <v>434</v>
      </c>
      <c r="E55" s="391">
        <v>1</v>
      </c>
      <c r="F55" s="391">
        <v>1</v>
      </c>
      <c r="G55" s="390"/>
      <c r="H55" s="390"/>
      <c r="I55" s="390"/>
    </row>
    <row r="56" spans="1:9">
      <c r="A56" s="391"/>
      <c r="B56" s="478"/>
      <c r="C56" s="478" t="s">
        <v>435</v>
      </c>
      <c r="D56" s="479" t="s">
        <v>436</v>
      </c>
      <c r="E56" s="391">
        <v>0</v>
      </c>
      <c r="F56" s="391">
        <v>0</v>
      </c>
      <c r="G56" s="390"/>
      <c r="H56" s="390"/>
      <c r="I56" s="390"/>
    </row>
    <row r="57" spans="1:9">
      <c r="A57" s="391"/>
      <c r="B57" s="478"/>
      <c r="C57" s="478"/>
      <c r="D57" s="479"/>
      <c r="E57" s="478"/>
      <c r="F57" s="478"/>
      <c r="G57" s="390"/>
      <c r="H57" s="390"/>
      <c r="I57" s="390"/>
    </row>
    <row r="58" spans="1:9">
      <c r="A58" s="391">
        <v>12</v>
      </c>
      <c r="B58" s="478" t="s">
        <v>333</v>
      </c>
      <c r="C58" s="478" t="s">
        <v>437</v>
      </c>
      <c r="D58" s="479" t="s">
        <v>438</v>
      </c>
      <c r="E58" s="391">
        <v>0</v>
      </c>
      <c r="F58" s="391">
        <v>0</v>
      </c>
      <c r="G58" s="390"/>
      <c r="H58" s="390"/>
      <c r="I58" s="390"/>
    </row>
    <row r="59" spans="1:9">
      <c r="A59" s="391"/>
      <c r="B59" s="478"/>
      <c r="C59" s="478" t="s">
        <v>439</v>
      </c>
      <c r="D59" s="479" t="s">
        <v>359</v>
      </c>
      <c r="E59" s="391">
        <v>0</v>
      </c>
      <c r="F59" s="391">
        <v>0</v>
      </c>
      <c r="G59" s="390"/>
      <c r="H59" s="390"/>
      <c r="I59" s="390"/>
    </row>
    <row r="60" spans="1:9">
      <c r="A60" s="391"/>
      <c r="B60" s="478"/>
      <c r="C60" s="478" t="s">
        <v>440</v>
      </c>
      <c r="D60" s="479" t="s">
        <v>441</v>
      </c>
      <c r="E60" s="391">
        <v>1</v>
      </c>
      <c r="F60" s="391">
        <v>1</v>
      </c>
      <c r="G60" s="390"/>
      <c r="H60" s="390"/>
      <c r="I60" s="390"/>
    </row>
    <row r="61" spans="1:9">
      <c r="A61" s="391"/>
      <c r="B61" s="478"/>
      <c r="C61" s="478" t="s">
        <v>442</v>
      </c>
      <c r="D61" s="479" t="s">
        <v>443</v>
      </c>
      <c r="E61" s="391">
        <v>1</v>
      </c>
      <c r="F61" s="391">
        <v>1</v>
      </c>
      <c r="G61" s="390"/>
      <c r="H61" s="390"/>
      <c r="I61" s="390"/>
    </row>
    <row r="62" spans="1:9">
      <c r="A62" s="391"/>
      <c r="B62" s="478"/>
      <c r="C62" s="478"/>
      <c r="D62" s="479"/>
      <c r="E62" s="391"/>
      <c r="F62" s="391"/>
      <c r="G62" s="390"/>
      <c r="H62" s="390"/>
      <c r="I62" s="390"/>
    </row>
    <row r="63" spans="1:9">
      <c r="A63" s="391">
        <v>13</v>
      </c>
      <c r="B63" s="478" t="s">
        <v>282</v>
      </c>
      <c r="C63" s="478" t="s">
        <v>444</v>
      </c>
      <c r="D63" s="479" t="s">
        <v>445</v>
      </c>
      <c r="E63" s="391">
        <v>0</v>
      </c>
      <c r="F63" s="391">
        <v>0</v>
      </c>
      <c r="G63" s="390"/>
      <c r="H63" s="390"/>
      <c r="I63" s="390"/>
    </row>
    <row r="64" spans="1:9">
      <c r="A64" s="391"/>
      <c r="B64" s="478"/>
      <c r="C64" s="478"/>
      <c r="D64" s="479"/>
      <c r="E64" s="391"/>
      <c r="F64" s="391"/>
      <c r="G64" s="390"/>
      <c r="H64" s="390"/>
      <c r="I64" s="390"/>
    </row>
    <row r="65" spans="1:9">
      <c r="A65" s="391">
        <v>14</v>
      </c>
      <c r="B65" s="478" t="s">
        <v>283</v>
      </c>
      <c r="C65" s="478" t="s">
        <v>446</v>
      </c>
      <c r="D65" s="479" t="s">
        <v>447</v>
      </c>
      <c r="E65" s="391">
        <v>0</v>
      </c>
      <c r="F65" s="391">
        <v>0</v>
      </c>
      <c r="G65" s="390"/>
      <c r="H65" s="390"/>
      <c r="I65" s="390"/>
    </row>
    <row r="66" spans="1:9" ht="25.5">
      <c r="A66" s="391"/>
      <c r="B66" s="478"/>
      <c r="C66" s="478" t="s">
        <v>448</v>
      </c>
      <c r="D66" s="479" t="s">
        <v>449</v>
      </c>
      <c r="E66" s="391">
        <v>0</v>
      </c>
      <c r="F66" s="391">
        <v>0</v>
      </c>
      <c r="G66" s="390"/>
      <c r="H66" s="390"/>
      <c r="I66" s="390"/>
    </row>
    <row r="67" spans="1:9" ht="25.5">
      <c r="A67" s="391"/>
      <c r="B67" s="478"/>
      <c r="C67" s="478" t="s">
        <v>450</v>
      </c>
      <c r="D67" s="479" t="s">
        <v>451</v>
      </c>
      <c r="E67" s="391">
        <v>0</v>
      </c>
      <c r="F67" s="391">
        <v>0</v>
      </c>
      <c r="G67" s="390"/>
      <c r="H67" s="390"/>
      <c r="I67" s="390"/>
    </row>
    <row r="68" spans="1:9">
      <c r="A68" s="391"/>
      <c r="B68" s="478"/>
      <c r="C68" s="478" t="s">
        <v>452</v>
      </c>
      <c r="D68" s="479" t="s">
        <v>453</v>
      </c>
      <c r="E68" s="391">
        <v>0</v>
      </c>
      <c r="F68" s="391">
        <v>0</v>
      </c>
      <c r="G68" s="390"/>
      <c r="H68" s="390"/>
      <c r="I68" s="390"/>
    </row>
    <row r="69" spans="1:9" ht="25.5">
      <c r="A69" s="391"/>
      <c r="B69" s="478"/>
      <c r="C69" s="478" t="s">
        <v>454</v>
      </c>
      <c r="D69" s="479" t="s">
        <v>1152</v>
      </c>
      <c r="E69" s="391">
        <v>0</v>
      </c>
      <c r="F69" s="391">
        <v>0</v>
      </c>
      <c r="G69" s="390"/>
      <c r="H69" s="390"/>
      <c r="I69" s="390"/>
    </row>
    <row r="70" spans="1:9">
      <c r="A70" s="391"/>
      <c r="B70" s="478"/>
      <c r="C70" s="478" t="s">
        <v>456</v>
      </c>
      <c r="D70" s="479" t="s">
        <v>457</v>
      </c>
      <c r="E70" s="391">
        <v>0</v>
      </c>
      <c r="F70" s="391">
        <v>0</v>
      </c>
      <c r="G70" s="390"/>
      <c r="H70" s="390"/>
      <c r="I70" s="390"/>
    </row>
    <row r="71" spans="1:9">
      <c r="A71" s="391"/>
      <c r="B71" s="485" t="s">
        <v>0</v>
      </c>
      <c r="C71" s="485"/>
      <c r="D71" s="485">
        <v>47</v>
      </c>
      <c r="E71" s="485">
        <f>SUM(E9:E70)</f>
        <v>7</v>
      </c>
      <c r="F71" s="485">
        <v>7</v>
      </c>
      <c r="G71" s="390"/>
      <c r="H71" s="390"/>
      <c r="I71" s="390"/>
    </row>
    <row r="72" spans="1:9">
      <c r="A72" s="397" t="s">
        <v>1153</v>
      </c>
      <c r="B72" s="390"/>
      <c r="C72" s="390"/>
      <c r="D72" s="390"/>
      <c r="E72" s="390"/>
      <c r="F72" s="390"/>
      <c r="G72" s="390"/>
      <c r="H72" s="390"/>
      <c r="I72" s="390"/>
    </row>
    <row r="73" spans="1:9">
      <c r="A73" s="390" t="s">
        <v>1154</v>
      </c>
      <c r="B73" s="390"/>
      <c r="C73" s="390"/>
      <c r="D73" s="390"/>
      <c r="E73" s="390"/>
      <c r="F73" s="390"/>
      <c r="G73" s="390"/>
      <c r="H73" s="390"/>
      <c r="I73" s="390"/>
    </row>
    <row r="74" spans="1:9">
      <c r="A74" s="390" t="s">
        <v>1155</v>
      </c>
      <c r="B74" s="390"/>
      <c r="C74" s="390"/>
      <c r="D74" s="390"/>
      <c r="E74" s="390"/>
      <c r="F74" s="390"/>
      <c r="G74" s="390"/>
      <c r="H74" s="390"/>
      <c r="I74" s="390"/>
    </row>
  </sheetData>
  <mergeCells count="10">
    <mergeCell ref="A1:F1"/>
    <mergeCell ref="A3:F3"/>
    <mergeCell ref="E4:F4"/>
    <mergeCell ref="A8:A10"/>
    <mergeCell ref="B8:B10"/>
    <mergeCell ref="C8:C10"/>
    <mergeCell ref="D8:D10"/>
    <mergeCell ref="E8:F8"/>
    <mergeCell ref="E9:E10"/>
    <mergeCell ref="F9:F10"/>
  </mergeCells>
  <pageMargins left="1.7" right="0.7" top="0.5" bottom="0.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0.499984740745262"/>
  </sheetPr>
  <dimension ref="A1:S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8.75"/>
  <cols>
    <col min="1" max="1" width="4.85546875" style="50" customWidth="1"/>
    <col min="2" max="2" width="23.140625" style="141" customWidth="1"/>
    <col min="3" max="3" width="12.85546875" style="51" customWidth="1"/>
    <col min="4" max="4" width="13.140625" style="51" customWidth="1"/>
    <col min="5" max="5" width="12.85546875" style="51" customWidth="1"/>
    <col min="6" max="6" width="12.28515625" style="204" customWidth="1"/>
    <col min="7" max="7" width="12.7109375" style="141" customWidth="1"/>
    <col min="8" max="8" width="11.85546875" style="141" customWidth="1"/>
    <col min="9" max="10" width="11.28515625" style="208" hidden="1" customWidth="1"/>
    <col min="11" max="11" width="13.7109375" style="55" customWidth="1"/>
    <col min="12" max="13" width="10.28515625" style="55" customWidth="1"/>
    <col min="14" max="14" width="9.28515625" style="207" customWidth="1"/>
    <col min="15" max="15" width="17.7109375" style="55" customWidth="1"/>
    <col min="16" max="16" width="13.85546875" style="55" customWidth="1"/>
    <col min="17" max="17" width="18.5703125" style="55" customWidth="1"/>
    <col min="18" max="18" width="12.28515625" style="55" customWidth="1"/>
    <col min="19" max="19" width="9.140625" style="55"/>
    <col min="20" max="16384" width="9.140625" style="141"/>
  </cols>
  <sheetData>
    <row r="1" spans="1:19" ht="12.75" customHeight="1">
      <c r="A1" s="584" t="s">
        <v>741</v>
      </c>
      <c r="B1" s="584"/>
      <c r="C1" s="584"/>
      <c r="D1" s="584"/>
      <c r="E1" s="584"/>
      <c r="F1" s="584"/>
      <c r="G1" s="584"/>
      <c r="H1" s="584"/>
      <c r="K1" s="207"/>
      <c r="O1" s="141"/>
      <c r="P1" s="141"/>
      <c r="Q1" s="141"/>
      <c r="R1" s="141"/>
      <c r="S1" s="141"/>
    </row>
    <row r="2" spans="1:19">
      <c r="A2" s="586" t="s">
        <v>239</v>
      </c>
      <c r="B2" s="586"/>
      <c r="C2" s="586"/>
      <c r="D2" s="586"/>
      <c r="E2" s="586"/>
      <c r="F2" s="586"/>
      <c r="G2" s="586"/>
      <c r="H2" s="586"/>
      <c r="O2" s="141"/>
      <c r="P2" s="141"/>
      <c r="Q2" s="141"/>
      <c r="R2" s="141"/>
      <c r="S2" s="141"/>
    </row>
    <row r="3" spans="1:19" ht="14.25" customHeight="1">
      <c r="A3" s="41"/>
      <c r="B3" s="83" t="s">
        <v>12</v>
      </c>
      <c r="C3" s="49"/>
      <c r="E3" s="49"/>
      <c r="G3" s="585" t="s">
        <v>203</v>
      </c>
      <c r="H3" s="585"/>
      <c r="O3" s="141"/>
      <c r="P3" s="141"/>
      <c r="Q3" s="141"/>
      <c r="R3" s="141"/>
      <c r="S3" s="141"/>
    </row>
    <row r="4" spans="1:19">
      <c r="A4" s="587" t="s">
        <v>230</v>
      </c>
      <c r="B4" s="587" t="s">
        <v>3</v>
      </c>
      <c r="C4" s="588" t="s">
        <v>14</v>
      </c>
      <c r="D4" s="588"/>
      <c r="E4" s="588" t="s">
        <v>9</v>
      </c>
      <c r="F4" s="588"/>
      <c r="G4" s="587" t="s">
        <v>10</v>
      </c>
      <c r="H4" s="587"/>
      <c r="K4" s="583" t="s">
        <v>344</v>
      </c>
      <c r="L4" s="583"/>
      <c r="M4" s="583"/>
      <c r="N4" s="583"/>
      <c r="O4" s="141"/>
      <c r="P4" s="141"/>
      <c r="Q4" s="141"/>
      <c r="R4" s="141"/>
      <c r="S4" s="141"/>
    </row>
    <row r="5" spans="1:19" ht="39.950000000000003" customHeight="1">
      <c r="A5" s="587"/>
      <c r="B5" s="587"/>
      <c r="C5" s="349" t="s">
        <v>742</v>
      </c>
      <c r="D5" s="349" t="s">
        <v>743</v>
      </c>
      <c r="E5" s="349" t="s">
        <v>742</v>
      </c>
      <c r="F5" s="349" t="s">
        <v>743</v>
      </c>
      <c r="G5" s="349" t="s">
        <v>742</v>
      </c>
      <c r="H5" s="349" t="s">
        <v>743</v>
      </c>
      <c r="I5" s="196" t="s">
        <v>294</v>
      </c>
      <c r="J5" s="195" t="s">
        <v>295</v>
      </c>
      <c r="K5" s="221" t="s">
        <v>297</v>
      </c>
      <c r="L5" s="221" t="s">
        <v>266</v>
      </c>
      <c r="M5" s="348" t="s">
        <v>298</v>
      </c>
      <c r="N5" s="205" t="s">
        <v>266</v>
      </c>
      <c r="O5" s="347"/>
      <c r="P5" s="141"/>
      <c r="Q5" s="141"/>
      <c r="R5" s="141"/>
      <c r="S5" s="141"/>
    </row>
    <row r="6" spans="1:19" ht="14.1" customHeight="1">
      <c r="A6" s="62">
        <v>1</v>
      </c>
      <c r="B6" s="63" t="s">
        <v>55</v>
      </c>
      <c r="C6" s="65">
        <v>1103503</v>
      </c>
      <c r="D6" s="205">
        <v>1116619</v>
      </c>
      <c r="E6" s="65">
        <v>721151</v>
      </c>
      <c r="F6" s="206">
        <v>706547</v>
      </c>
      <c r="G6" s="66">
        <f>E6*100/C6</f>
        <v>65.351068370453007</v>
      </c>
      <c r="H6" s="66">
        <f>F6*100/D6</f>
        <v>63.275566688369082</v>
      </c>
      <c r="I6" s="209">
        <f>(D6-C6)*100/C6</f>
        <v>1.188578553932341</v>
      </c>
      <c r="J6" s="209">
        <f>(F6-E6)*100/E6</f>
        <v>-2.0250959923788501</v>
      </c>
      <c r="K6" s="207">
        <f>'CD Ratio_2'!C6+'CD Ratio_2'!D6+'CD Ratio_2'!E6</f>
        <v>1116619</v>
      </c>
      <c r="L6" s="207">
        <f t="shared" ref="L6:L37" si="0">D6-K6</f>
        <v>0</v>
      </c>
      <c r="M6" s="207">
        <f>'CD Ratio_2'!F6+'CD Ratio_2'!G6+'CD Ratio_2'!H6</f>
        <v>706547</v>
      </c>
      <c r="N6" s="207">
        <f t="shared" ref="N6:N63" si="1">F6-M6</f>
        <v>0</v>
      </c>
      <c r="O6" s="141"/>
      <c r="P6" s="141"/>
      <c r="Q6" s="141"/>
      <c r="R6" s="141"/>
      <c r="S6" s="141"/>
    </row>
    <row r="7" spans="1:19" ht="14.1" customHeight="1">
      <c r="A7" s="62">
        <v>2</v>
      </c>
      <c r="B7" s="63" t="s">
        <v>56</v>
      </c>
      <c r="C7" s="65">
        <v>128952.73</v>
      </c>
      <c r="D7" s="205">
        <v>114195.89</v>
      </c>
      <c r="E7" s="64">
        <v>63802.18</v>
      </c>
      <c r="F7" s="206">
        <v>76442.070000000007</v>
      </c>
      <c r="G7" s="66">
        <f t="shared" ref="G7:G63" si="2">E7*100/C7</f>
        <v>49.477184391520829</v>
      </c>
      <c r="H7" s="66">
        <f t="shared" ref="H7:H63" si="3">F7*100/D7</f>
        <v>66.939423126348956</v>
      </c>
      <c r="I7" s="209">
        <f t="shared" ref="I7:I63" si="4">(D7-C7)*100/C7</f>
        <v>-11.443604179609068</v>
      </c>
      <c r="J7" s="209">
        <f t="shared" ref="J7:J63" si="5">(F7-E7)*100/E7</f>
        <v>19.811062882177392</v>
      </c>
      <c r="K7" s="207">
        <f>'CD Ratio_2'!C7+'CD Ratio_2'!D7+'CD Ratio_2'!E7</f>
        <v>114195.89</v>
      </c>
      <c r="L7" s="207">
        <f t="shared" si="0"/>
        <v>0</v>
      </c>
      <c r="M7" s="207">
        <f>'CD Ratio_2'!F7+'CD Ratio_2'!G7+'CD Ratio_2'!H7</f>
        <v>76442.069999999992</v>
      </c>
      <c r="N7" s="207">
        <f t="shared" si="1"/>
        <v>0</v>
      </c>
      <c r="O7" s="141"/>
      <c r="P7" s="141"/>
      <c r="Q7" s="141"/>
      <c r="R7" s="141"/>
      <c r="S7" s="141"/>
    </row>
    <row r="8" spans="1:19" ht="14.1" customHeight="1">
      <c r="A8" s="62">
        <v>3</v>
      </c>
      <c r="B8" s="63" t="s">
        <v>57</v>
      </c>
      <c r="C8" s="67">
        <v>956643</v>
      </c>
      <c r="D8" s="205">
        <v>972948</v>
      </c>
      <c r="E8" s="67">
        <v>690825</v>
      </c>
      <c r="F8" s="206">
        <v>813103</v>
      </c>
      <c r="G8" s="66">
        <f t="shared" si="2"/>
        <v>72.213458939228119</v>
      </c>
      <c r="H8" s="66">
        <f t="shared" si="3"/>
        <v>83.571064435098279</v>
      </c>
      <c r="I8" s="209">
        <f t="shared" si="4"/>
        <v>1.7043975652359344</v>
      </c>
      <c r="J8" s="209">
        <f t="shared" si="5"/>
        <v>17.700285890058986</v>
      </c>
      <c r="K8" s="207">
        <f>'CD Ratio_2'!C8+'CD Ratio_2'!D8+'CD Ratio_2'!E8</f>
        <v>972948</v>
      </c>
      <c r="L8" s="207">
        <f t="shared" si="0"/>
        <v>0</v>
      </c>
      <c r="M8" s="207">
        <f>'CD Ratio_2'!F8+'CD Ratio_2'!G8+'CD Ratio_2'!H8</f>
        <v>813103</v>
      </c>
      <c r="N8" s="207">
        <f t="shared" si="1"/>
        <v>0</v>
      </c>
      <c r="O8" s="141"/>
      <c r="P8" s="141"/>
      <c r="Q8" s="141"/>
      <c r="R8" s="141"/>
      <c r="S8" s="141"/>
    </row>
    <row r="9" spans="1:19" ht="14.1" customHeight="1">
      <c r="A9" s="62">
        <v>4</v>
      </c>
      <c r="B9" s="63" t="s">
        <v>58</v>
      </c>
      <c r="C9" s="64">
        <v>2350889</v>
      </c>
      <c r="D9" s="205">
        <v>2530851</v>
      </c>
      <c r="E9" s="64">
        <v>1743443</v>
      </c>
      <c r="F9" s="206">
        <v>1800789</v>
      </c>
      <c r="G9" s="66">
        <f t="shared" si="2"/>
        <v>74.161008877918093</v>
      </c>
      <c r="H9" s="66">
        <f t="shared" si="3"/>
        <v>71.153497380920484</v>
      </c>
      <c r="I9" s="209">
        <f t="shared" si="4"/>
        <v>7.6550615533102579</v>
      </c>
      <c r="J9" s="209">
        <f t="shared" si="5"/>
        <v>3.2892385928303938</v>
      </c>
      <c r="K9" s="207">
        <f>'CD Ratio_2'!C9+'CD Ratio_2'!D9+'CD Ratio_2'!E9</f>
        <v>2530851</v>
      </c>
      <c r="L9" s="207">
        <f t="shared" si="0"/>
        <v>0</v>
      </c>
      <c r="M9" s="207">
        <f>'CD Ratio_2'!F9+'CD Ratio_2'!G9+'CD Ratio_2'!H9</f>
        <v>1800789</v>
      </c>
      <c r="N9" s="207">
        <f t="shared" si="1"/>
        <v>0</v>
      </c>
      <c r="O9" s="141"/>
      <c r="P9" s="141"/>
      <c r="Q9" s="141"/>
      <c r="R9" s="141"/>
      <c r="S9" s="141"/>
    </row>
    <row r="10" spans="1:19" ht="14.1" customHeight="1">
      <c r="A10" s="62">
        <v>5</v>
      </c>
      <c r="B10" s="63" t="s">
        <v>59</v>
      </c>
      <c r="C10" s="64">
        <v>589714</v>
      </c>
      <c r="D10" s="205">
        <v>587008</v>
      </c>
      <c r="E10" s="64">
        <v>297536</v>
      </c>
      <c r="F10" s="206">
        <v>316149</v>
      </c>
      <c r="G10" s="66">
        <f t="shared" si="2"/>
        <v>50.454288010798457</v>
      </c>
      <c r="H10" s="66">
        <f t="shared" si="3"/>
        <v>53.857698702573046</v>
      </c>
      <c r="I10" s="209">
        <f t="shared" si="4"/>
        <v>-0.4588665013888088</v>
      </c>
      <c r="J10" s="209">
        <f t="shared" si="5"/>
        <v>6.2557135943213593</v>
      </c>
      <c r="K10" s="207">
        <f>'CD Ratio_2'!C10+'CD Ratio_2'!D10+'CD Ratio_2'!E10</f>
        <v>587008</v>
      </c>
      <c r="L10" s="207">
        <f t="shared" si="0"/>
        <v>0</v>
      </c>
      <c r="M10" s="207">
        <f>'CD Ratio_2'!F10+'CD Ratio_2'!G10+'CD Ratio_2'!H10</f>
        <v>316149</v>
      </c>
      <c r="N10" s="207">
        <f t="shared" si="1"/>
        <v>0</v>
      </c>
      <c r="O10" s="141"/>
      <c r="P10" s="141"/>
      <c r="Q10" s="141"/>
      <c r="R10" s="141"/>
      <c r="S10" s="141"/>
    </row>
    <row r="11" spans="1:19" ht="14.1" customHeight="1">
      <c r="A11" s="62">
        <v>6</v>
      </c>
      <c r="B11" s="63" t="s">
        <v>68</v>
      </c>
      <c r="C11" s="69">
        <v>4228</v>
      </c>
      <c r="D11" s="205">
        <v>4524</v>
      </c>
      <c r="E11" s="69">
        <v>654</v>
      </c>
      <c r="F11" s="206">
        <v>687</v>
      </c>
      <c r="G11" s="66">
        <f t="shared" si="2"/>
        <v>15.468306527909176</v>
      </c>
      <c r="H11" s="66">
        <f t="shared" si="3"/>
        <v>15.185676392572944</v>
      </c>
      <c r="I11" s="209">
        <f t="shared" si="4"/>
        <v>7.0009460737937559</v>
      </c>
      <c r="J11" s="209">
        <f t="shared" si="5"/>
        <v>5.0458715596330279</v>
      </c>
      <c r="K11" s="207">
        <f>'CD Ratio_2'!C11+'CD Ratio_2'!D11+'CD Ratio_2'!E11</f>
        <v>4524</v>
      </c>
      <c r="L11" s="207">
        <f t="shared" si="0"/>
        <v>0</v>
      </c>
      <c r="M11" s="207">
        <f>'CD Ratio_2'!F11+'CD Ratio_2'!G11+'CD Ratio_2'!H11</f>
        <v>687</v>
      </c>
      <c r="N11" s="207">
        <f t="shared" si="1"/>
        <v>0</v>
      </c>
      <c r="O11" s="141"/>
      <c r="P11" s="141"/>
      <c r="Q11" s="141"/>
      <c r="R11" s="141"/>
      <c r="S11" s="141"/>
    </row>
    <row r="12" spans="1:19" ht="14.1" customHeight="1">
      <c r="A12" s="62">
        <v>7</v>
      </c>
      <c r="B12" s="63" t="s">
        <v>60</v>
      </c>
      <c r="C12" s="68">
        <v>813219</v>
      </c>
      <c r="D12" s="205">
        <v>766285.1</v>
      </c>
      <c r="E12" s="68">
        <v>419154</v>
      </c>
      <c r="F12" s="206">
        <v>436815.9</v>
      </c>
      <c r="G12" s="66">
        <f t="shared" si="2"/>
        <v>51.542573402736529</v>
      </c>
      <c r="H12" s="66">
        <f t="shared" si="3"/>
        <v>57.004357777542587</v>
      </c>
      <c r="I12" s="209">
        <f t="shared" si="4"/>
        <v>-5.7713727790423022</v>
      </c>
      <c r="J12" s="209">
        <f t="shared" si="5"/>
        <v>4.2137018852259605</v>
      </c>
      <c r="K12" s="207">
        <f>'CD Ratio_2'!C12+'CD Ratio_2'!D12+'CD Ratio_2'!E12</f>
        <v>766285.1</v>
      </c>
      <c r="L12" s="207">
        <f t="shared" si="0"/>
        <v>0</v>
      </c>
      <c r="M12" s="207">
        <f>'CD Ratio_2'!F12+'CD Ratio_2'!G12+'CD Ratio_2'!H12</f>
        <v>436815.89999999997</v>
      </c>
      <c r="N12" s="207">
        <f t="shared" si="1"/>
        <v>0</v>
      </c>
      <c r="O12" s="141"/>
      <c r="P12" s="141"/>
      <c r="Q12" s="141"/>
      <c r="R12" s="141"/>
      <c r="S12" s="141"/>
    </row>
    <row r="13" spans="1:19" ht="14.1" customHeight="1">
      <c r="A13" s="62">
        <v>8</v>
      </c>
      <c r="B13" s="63" t="s">
        <v>61</v>
      </c>
      <c r="C13" s="70">
        <v>2503950</v>
      </c>
      <c r="D13" s="358">
        <v>2640301</v>
      </c>
      <c r="E13" s="70">
        <v>1187286</v>
      </c>
      <c r="F13" s="358">
        <v>1210009</v>
      </c>
      <c r="G13" s="66">
        <f t="shared" si="2"/>
        <v>47.416521895405261</v>
      </c>
      <c r="H13" s="66">
        <f t="shared" si="3"/>
        <v>45.828449104855849</v>
      </c>
      <c r="I13" s="209">
        <f t="shared" si="4"/>
        <v>5.4454362107869567</v>
      </c>
      <c r="J13" s="209">
        <f t="shared" si="5"/>
        <v>1.9138606873154405</v>
      </c>
      <c r="K13" s="207">
        <f>'CD Ratio_2'!C13+'CD Ratio_2'!D13+'CD Ratio_2'!E13</f>
        <v>2640301</v>
      </c>
      <c r="L13" s="207">
        <f t="shared" si="0"/>
        <v>0</v>
      </c>
      <c r="M13" s="207">
        <f>'CD Ratio_2'!F13+'CD Ratio_2'!G13+'CD Ratio_2'!H13</f>
        <v>1210009</v>
      </c>
      <c r="N13" s="207">
        <f t="shared" si="1"/>
        <v>0</v>
      </c>
      <c r="O13" s="344"/>
      <c r="P13" s="141"/>
      <c r="Q13" s="141"/>
      <c r="R13" s="141"/>
      <c r="S13" s="141"/>
    </row>
    <row r="14" spans="1:19" ht="14.1" customHeight="1">
      <c r="A14" s="62">
        <v>9</v>
      </c>
      <c r="B14" s="63" t="s">
        <v>48</v>
      </c>
      <c r="C14" s="64">
        <v>184479.35999999999</v>
      </c>
      <c r="D14" s="205">
        <v>203880</v>
      </c>
      <c r="E14" s="64">
        <v>165917</v>
      </c>
      <c r="F14" s="206">
        <v>326576</v>
      </c>
      <c r="G14" s="66">
        <f t="shared" si="2"/>
        <v>89.93797463304297</v>
      </c>
      <c r="H14" s="66">
        <f t="shared" si="3"/>
        <v>160.18049833235236</v>
      </c>
      <c r="I14" s="209">
        <f t="shared" si="4"/>
        <v>10.516428504522141</v>
      </c>
      <c r="J14" s="209">
        <f t="shared" si="5"/>
        <v>96.830945593278571</v>
      </c>
      <c r="K14" s="207">
        <f>'CD Ratio_2'!C14+'CD Ratio_2'!D14+'CD Ratio_2'!E14</f>
        <v>203880</v>
      </c>
      <c r="L14" s="207">
        <f t="shared" si="0"/>
        <v>0</v>
      </c>
      <c r="M14" s="207">
        <f>'CD Ratio_2'!F14+'CD Ratio_2'!G14+'CD Ratio_2'!H14</f>
        <v>326576</v>
      </c>
      <c r="N14" s="207">
        <f t="shared" si="1"/>
        <v>0</v>
      </c>
      <c r="O14" s="141"/>
      <c r="P14" s="141"/>
      <c r="Q14" s="141"/>
      <c r="R14" s="141"/>
      <c r="S14" s="141"/>
    </row>
    <row r="15" spans="1:19" ht="14.1" customHeight="1">
      <c r="A15" s="62">
        <v>10</v>
      </c>
      <c r="B15" s="63" t="s">
        <v>49</v>
      </c>
      <c r="C15" s="64">
        <v>281558</v>
      </c>
      <c r="D15" s="205">
        <v>277829</v>
      </c>
      <c r="E15" s="64">
        <v>151797</v>
      </c>
      <c r="F15" s="206">
        <v>156634</v>
      </c>
      <c r="G15" s="66">
        <f t="shared" si="2"/>
        <v>53.913225694173136</v>
      </c>
      <c r="H15" s="66">
        <f t="shared" si="3"/>
        <v>56.377843925580123</v>
      </c>
      <c r="I15" s="209">
        <f t="shared" si="4"/>
        <v>-1.3244162836786737</v>
      </c>
      <c r="J15" s="209">
        <f t="shared" si="5"/>
        <v>3.1864924866762849</v>
      </c>
      <c r="K15" s="207">
        <f>'CD Ratio_2'!C15+'CD Ratio_2'!D15+'CD Ratio_2'!E15</f>
        <v>277829</v>
      </c>
      <c r="L15" s="207">
        <f t="shared" si="0"/>
        <v>0</v>
      </c>
      <c r="M15" s="207">
        <f>'CD Ratio_2'!F15+'CD Ratio_2'!G15+'CD Ratio_2'!H15</f>
        <v>156634</v>
      </c>
      <c r="N15" s="207">
        <f t="shared" si="1"/>
        <v>0</v>
      </c>
      <c r="O15" s="141"/>
      <c r="P15" s="141"/>
      <c r="Q15" s="141"/>
      <c r="R15" s="141"/>
      <c r="S15" s="141"/>
    </row>
    <row r="16" spans="1:19" ht="14.1" customHeight="1">
      <c r="A16" s="62">
        <v>11</v>
      </c>
      <c r="B16" s="63" t="s">
        <v>81</v>
      </c>
      <c r="C16" s="64">
        <v>764691</v>
      </c>
      <c r="D16" s="205">
        <v>704533</v>
      </c>
      <c r="E16" s="64">
        <v>362362</v>
      </c>
      <c r="F16" s="206">
        <v>381186</v>
      </c>
      <c r="G16" s="66">
        <f t="shared" si="2"/>
        <v>47.386722218517022</v>
      </c>
      <c r="H16" s="66">
        <f t="shared" si="3"/>
        <v>54.104775787649409</v>
      </c>
      <c r="I16" s="209">
        <f t="shared" si="4"/>
        <v>-7.8669684879251882</v>
      </c>
      <c r="J16" s="209">
        <f t="shared" si="5"/>
        <v>5.1948051948051948</v>
      </c>
      <c r="K16" s="207">
        <f>'CD Ratio_2'!C16+'CD Ratio_2'!D16+'CD Ratio_2'!E16</f>
        <v>704533</v>
      </c>
      <c r="L16" s="207">
        <f t="shared" si="0"/>
        <v>0</v>
      </c>
      <c r="M16" s="207">
        <f>'CD Ratio_2'!F16+'CD Ratio_2'!G16+'CD Ratio_2'!H16</f>
        <v>381186</v>
      </c>
      <c r="N16" s="207">
        <f t="shared" si="1"/>
        <v>0</v>
      </c>
      <c r="O16" s="141"/>
      <c r="P16" s="141"/>
      <c r="Q16" s="141"/>
      <c r="R16" s="141"/>
      <c r="S16" s="141"/>
    </row>
    <row r="17" spans="1:19" ht="14.1" customHeight="1">
      <c r="A17" s="62">
        <v>12</v>
      </c>
      <c r="B17" s="63" t="s">
        <v>62</v>
      </c>
      <c r="C17" s="71">
        <v>93195.69</v>
      </c>
      <c r="D17" s="205">
        <v>89921.41</v>
      </c>
      <c r="E17" s="71">
        <v>35094.410000000003</v>
      </c>
      <c r="F17" s="206">
        <v>38518.67</v>
      </c>
      <c r="G17" s="66">
        <f t="shared" si="2"/>
        <v>37.656687771719916</v>
      </c>
      <c r="H17" s="66">
        <f t="shared" si="3"/>
        <v>42.835927506029989</v>
      </c>
      <c r="I17" s="209">
        <f t="shared" si="4"/>
        <v>-3.5133384387196434</v>
      </c>
      <c r="J17" s="209">
        <f t="shared" si="5"/>
        <v>9.7572804329806218</v>
      </c>
      <c r="K17" s="207">
        <f>'CD Ratio_2'!C17+'CD Ratio_2'!D17+'CD Ratio_2'!E17</f>
        <v>89921.41</v>
      </c>
      <c r="L17" s="207">
        <f t="shared" si="0"/>
        <v>0</v>
      </c>
      <c r="M17" s="207">
        <f>'CD Ratio_2'!F17+'CD Ratio_2'!G17+'CD Ratio_2'!H17</f>
        <v>38518.670000000006</v>
      </c>
      <c r="N17" s="207">
        <f t="shared" si="1"/>
        <v>0</v>
      </c>
      <c r="O17" s="141"/>
      <c r="P17" s="141"/>
      <c r="Q17" s="141"/>
      <c r="R17" s="141"/>
      <c r="S17" s="141"/>
    </row>
    <row r="18" spans="1:19" ht="14.1" customHeight="1">
      <c r="A18" s="62">
        <v>13</v>
      </c>
      <c r="B18" s="63" t="s">
        <v>63</v>
      </c>
      <c r="C18" s="71">
        <v>164518</v>
      </c>
      <c r="D18" s="205">
        <v>135798</v>
      </c>
      <c r="E18" s="71">
        <v>96588</v>
      </c>
      <c r="F18" s="206">
        <v>103066</v>
      </c>
      <c r="G18" s="66">
        <f t="shared" si="2"/>
        <v>58.7096852624029</v>
      </c>
      <c r="H18" s="66">
        <f t="shared" si="3"/>
        <v>75.896552231991635</v>
      </c>
      <c r="I18" s="209">
        <f t="shared" si="4"/>
        <v>-17.457056370731472</v>
      </c>
      <c r="J18" s="209">
        <f t="shared" si="5"/>
        <v>6.7068372882759766</v>
      </c>
      <c r="K18" s="207">
        <f>'CD Ratio_2'!C18+'CD Ratio_2'!D18+'CD Ratio_2'!E18</f>
        <v>135798</v>
      </c>
      <c r="L18" s="207">
        <f t="shared" si="0"/>
        <v>0</v>
      </c>
      <c r="M18" s="207">
        <f>'CD Ratio_2'!F18+'CD Ratio_2'!G18+'CD Ratio_2'!H18</f>
        <v>103066</v>
      </c>
      <c r="N18" s="207">
        <f t="shared" si="1"/>
        <v>0</v>
      </c>
      <c r="O18" s="141"/>
      <c r="P18" s="141"/>
      <c r="Q18" s="141"/>
      <c r="R18" s="141"/>
      <c r="S18" s="141"/>
    </row>
    <row r="19" spans="1:19" ht="14.1" customHeight="1">
      <c r="A19" s="62">
        <v>14</v>
      </c>
      <c r="B19" s="63" t="s">
        <v>238</v>
      </c>
      <c r="C19" s="71">
        <v>466536</v>
      </c>
      <c r="D19" s="205">
        <v>471484.83</v>
      </c>
      <c r="E19" s="71">
        <v>218999.15</v>
      </c>
      <c r="F19" s="206">
        <v>240785.74</v>
      </c>
      <c r="G19" s="66">
        <f t="shared" si="2"/>
        <v>46.94153291493047</v>
      </c>
      <c r="H19" s="66">
        <f t="shared" si="3"/>
        <v>51.06966856176475</v>
      </c>
      <c r="I19" s="209">
        <f t="shared" si="4"/>
        <v>1.0607605843922048</v>
      </c>
      <c r="J19" s="209">
        <f t="shared" si="5"/>
        <v>9.9482532238138806</v>
      </c>
      <c r="K19" s="207">
        <f>'CD Ratio_2'!C19+'CD Ratio_2'!D19+'CD Ratio_2'!E19</f>
        <v>471484.83</v>
      </c>
      <c r="L19" s="207">
        <f t="shared" si="0"/>
        <v>0</v>
      </c>
      <c r="M19" s="207">
        <f>'CD Ratio_2'!F19+'CD Ratio_2'!G19+'CD Ratio_2'!H19</f>
        <v>240785.74</v>
      </c>
      <c r="N19" s="207">
        <f t="shared" si="1"/>
        <v>0</v>
      </c>
      <c r="O19" s="141"/>
      <c r="P19" s="141"/>
      <c r="Q19" s="141"/>
      <c r="R19" s="141"/>
      <c r="S19" s="141"/>
    </row>
    <row r="20" spans="1:19" ht="14.1" customHeight="1">
      <c r="A20" s="62">
        <v>15</v>
      </c>
      <c r="B20" s="63" t="s">
        <v>83</v>
      </c>
      <c r="C20" s="71">
        <v>146347</v>
      </c>
      <c r="D20" s="205">
        <v>153460</v>
      </c>
      <c r="E20" s="71">
        <v>62375</v>
      </c>
      <c r="F20" s="206">
        <v>67492</v>
      </c>
      <c r="G20" s="66">
        <f t="shared" si="2"/>
        <v>42.621304160659257</v>
      </c>
      <c r="H20" s="66">
        <f t="shared" si="3"/>
        <v>43.980190277596769</v>
      </c>
      <c r="I20" s="209">
        <f t="shared" si="4"/>
        <v>4.8603661161486054</v>
      </c>
      <c r="J20" s="209">
        <f t="shared" si="5"/>
        <v>8.2036072144288585</v>
      </c>
      <c r="K20" s="207">
        <f>'CD Ratio_2'!C20+'CD Ratio_2'!D20+'CD Ratio_2'!E20</f>
        <v>153460</v>
      </c>
      <c r="L20" s="207">
        <f t="shared" si="0"/>
        <v>0</v>
      </c>
      <c r="M20" s="207">
        <f>'CD Ratio_2'!F20+'CD Ratio_2'!G20+'CD Ratio_2'!H20</f>
        <v>67492</v>
      </c>
      <c r="N20" s="207">
        <f t="shared" si="1"/>
        <v>0</v>
      </c>
      <c r="O20" s="141"/>
      <c r="P20" s="141"/>
      <c r="Q20" s="141"/>
      <c r="R20" s="141"/>
      <c r="S20" s="141"/>
    </row>
    <row r="21" spans="1:19" ht="14.1" customHeight="1">
      <c r="A21" s="62">
        <v>16</v>
      </c>
      <c r="B21" s="63" t="s">
        <v>64</v>
      </c>
      <c r="C21" s="71">
        <v>2184802</v>
      </c>
      <c r="D21" s="205">
        <v>2144300</v>
      </c>
      <c r="E21" s="71">
        <v>1347838</v>
      </c>
      <c r="F21" s="206">
        <v>1443565</v>
      </c>
      <c r="G21" s="66">
        <f t="shared" si="2"/>
        <v>61.691540011406069</v>
      </c>
      <c r="H21" s="66">
        <f t="shared" si="3"/>
        <v>67.321037168306674</v>
      </c>
      <c r="I21" s="209">
        <f t="shared" si="4"/>
        <v>-1.8538064318871916</v>
      </c>
      <c r="J21" s="209">
        <f t="shared" si="5"/>
        <v>7.1022630316106241</v>
      </c>
      <c r="K21" s="207">
        <f>'CD Ratio_2'!C21+'CD Ratio_2'!D21+'CD Ratio_2'!E21</f>
        <v>2144300</v>
      </c>
      <c r="L21" s="207">
        <f t="shared" si="0"/>
        <v>0</v>
      </c>
      <c r="M21" s="207">
        <f>'CD Ratio_2'!F21+'CD Ratio_2'!G21+'CD Ratio_2'!H21</f>
        <v>1443565</v>
      </c>
      <c r="N21" s="207">
        <f t="shared" si="1"/>
        <v>0</v>
      </c>
      <c r="O21" s="141"/>
      <c r="P21" s="141"/>
      <c r="Q21" s="141"/>
      <c r="R21" s="141"/>
      <c r="S21" s="141"/>
    </row>
    <row r="22" spans="1:19" ht="14.1" customHeight="1">
      <c r="A22" s="62">
        <v>17</v>
      </c>
      <c r="B22" s="63" t="s">
        <v>69</v>
      </c>
      <c r="C22" s="70">
        <v>30535.54</v>
      </c>
      <c r="D22" s="205">
        <v>31119</v>
      </c>
      <c r="E22" s="70">
        <v>34927.800000000003</v>
      </c>
      <c r="F22" s="206">
        <v>25188</v>
      </c>
      <c r="G22" s="66">
        <f t="shared" si="2"/>
        <v>114.3840914553992</v>
      </c>
      <c r="H22" s="66">
        <f t="shared" si="3"/>
        <v>80.940904270702788</v>
      </c>
      <c r="I22" s="209">
        <f t="shared" si="4"/>
        <v>1.9107571046721268</v>
      </c>
      <c r="J22" s="209">
        <f t="shared" si="5"/>
        <v>-27.88552385206054</v>
      </c>
      <c r="K22" s="207">
        <f>'CD Ratio_2'!C22+'CD Ratio_2'!D22+'CD Ratio_2'!E22</f>
        <v>31119</v>
      </c>
      <c r="L22" s="207">
        <f t="shared" si="0"/>
        <v>0</v>
      </c>
      <c r="M22" s="207">
        <f>'CD Ratio_2'!F22+'CD Ratio_2'!G22+'CD Ratio_2'!H22</f>
        <v>25188</v>
      </c>
      <c r="N22" s="207">
        <f t="shared" si="1"/>
        <v>0</v>
      </c>
      <c r="O22" s="141"/>
      <c r="P22" s="141"/>
      <c r="Q22" s="141"/>
      <c r="R22" s="141"/>
      <c r="S22" s="141"/>
    </row>
    <row r="23" spans="1:19" ht="14.1" customHeight="1">
      <c r="A23" s="62">
        <v>18</v>
      </c>
      <c r="B23" s="63" t="s">
        <v>84</v>
      </c>
      <c r="C23" s="70">
        <v>21442.26</v>
      </c>
      <c r="D23" s="205">
        <v>21977</v>
      </c>
      <c r="E23" s="70">
        <v>27915.18</v>
      </c>
      <c r="F23" s="206">
        <v>27915</v>
      </c>
      <c r="G23" s="66">
        <f t="shared" si="2"/>
        <v>130.18767611249933</v>
      </c>
      <c r="H23" s="66">
        <f t="shared" si="3"/>
        <v>127.01915639077217</v>
      </c>
      <c r="I23" s="209">
        <f t="shared" si="4"/>
        <v>2.4938602554021903</v>
      </c>
      <c r="J23" s="209">
        <f t="shared" si="5"/>
        <v>-6.448104579669235E-4</v>
      </c>
      <c r="K23" s="207">
        <f>'CD Ratio_2'!C23+'CD Ratio_2'!D23+'CD Ratio_2'!E23</f>
        <v>21977</v>
      </c>
      <c r="L23" s="207">
        <f t="shared" si="0"/>
        <v>0</v>
      </c>
      <c r="M23" s="207">
        <f>'CD Ratio_2'!F23+'CD Ratio_2'!G23+'CD Ratio_2'!H23</f>
        <v>27915</v>
      </c>
      <c r="N23" s="207">
        <f t="shared" si="1"/>
        <v>0</v>
      </c>
      <c r="O23" s="141"/>
      <c r="P23" s="141"/>
      <c r="Q23" s="141"/>
      <c r="R23" s="141"/>
      <c r="S23" s="141"/>
    </row>
    <row r="24" spans="1:19" ht="14.1" customHeight="1">
      <c r="A24" s="62">
        <v>19</v>
      </c>
      <c r="B24" s="63" t="s">
        <v>85</v>
      </c>
      <c r="C24" s="70">
        <v>57096</v>
      </c>
      <c r="D24" s="205">
        <v>52715</v>
      </c>
      <c r="E24" s="70">
        <v>70073</v>
      </c>
      <c r="F24" s="206">
        <v>69429</v>
      </c>
      <c r="G24" s="66">
        <f t="shared" si="2"/>
        <v>122.72838727756761</v>
      </c>
      <c r="H24" s="66">
        <f t="shared" si="3"/>
        <v>131.70634544247369</v>
      </c>
      <c r="I24" s="209">
        <f t="shared" si="4"/>
        <v>-7.6730418943533696</v>
      </c>
      <c r="J24" s="209">
        <f t="shared" si="5"/>
        <v>-0.91904157093316974</v>
      </c>
      <c r="K24" s="207">
        <f>'CD Ratio_2'!C24+'CD Ratio_2'!D24+'CD Ratio_2'!E24</f>
        <v>52715</v>
      </c>
      <c r="L24" s="207">
        <f t="shared" si="0"/>
        <v>0</v>
      </c>
      <c r="M24" s="207">
        <f>'CD Ratio_2'!F24+'CD Ratio_2'!G24+'CD Ratio_2'!H24</f>
        <v>69429</v>
      </c>
      <c r="N24" s="207">
        <f t="shared" si="1"/>
        <v>0</v>
      </c>
      <c r="O24" s="141"/>
      <c r="P24" s="141"/>
      <c r="Q24" s="141"/>
      <c r="R24" s="141"/>
      <c r="S24" s="141"/>
    </row>
    <row r="25" spans="1:19" ht="14.1" customHeight="1">
      <c r="A25" s="62">
        <v>20</v>
      </c>
      <c r="B25" s="63" t="s">
        <v>86</v>
      </c>
      <c r="C25" s="71">
        <v>22763</v>
      </c>
      <c r="D25" s="205">
        <v>22016</v>
      </c>
      <c r="E25" s="71">
        <v>52203</v>
      </c>
      <c r="F25" s="206">
        <v>23416</v>
      </c>
      <c r="G25" s="66">
        <f t="shared" si="2"/>
        <v>229.33268901287175</v>
      </c>
      <c r="H25" s="66">
        <f t="shared" si="3"/>
        <v>106.35901162790698</v>
      </c>
      <c r="I25" s="209">
        <f t="shared" si="4"/>
        <v>-3.2816412599393754</v>
      </c>
      <c r="J25" s="209">
        <f t="shared" si="5"/>
        <v>-55.144340363580639</v>
      </c>
      <c r="K25" s="207">
        <f>'CD Ratio_2'!C25+'CD Ratio_2'!D25+'CD Ratio_2'!E25</f>
        <v>22016</v>
      </c>
      <c r="L25" s="207">
        <f t="shared" si="0"/>
        <v>0</v>
      </c>
      <c r="M25" s="207">
        <f>'CD Ratio_2'!F25+'CD Ratio_2'!G25+'CD Ratio_2'!H25</f>
        <v>23416</v>
      </c>
      <c r="N25" s="207">
        <f t="shared" si="1"/>
        <v>0</v>
      </c>
      <c r="O25" s="141"/>
      <c r="P25" s="141"/>
      <c r="Q25" s="141"/>
      <c r="R25" s="141"/>
      <c r="S25" s="141"/>
    </row>
    <row r="26" spans="1:19" ht="14.1" customHeight="1">
      <c r="A26" s="62">
        <v>21</v>
      </c>
      <c r="B26" s="63" t="s">
        <v>87</v>
      </c>
      <c r="C26" s="70">
        <v>61785</v>
      </c>
      <c r="D26" s="205">
        <v>61643</v>
      </c>
      <c r="E26" s="70">
        <v>59363</v>
      </c>
      <c r="F26" s="206">
        <v>30151</v>
      </c>
      <c r="G26" s="66">
        <f t="shared" si="2"/>
        <v>96.079954681557012</v>
      </c>
      <c r="H26" s="66">
        <f t="shared" si="3"/>
        <v>48.912285255422354</v>
      </c>
      <c r="I26" s="209">
        <f t="shared" si="4"/>
        <v>-0.22982924658088533</v>
      </c>
      <c r="J26" s="209">
        <f t="shared" si="5"/>
        <v>-49.209103313511783</v>
      </c>
      <c r="K26" s="207">
        <f>'CD Ratio_2'!C26+'CD Ratio_2'!D26+'CD Ratio_2'!E26</f>
        <v>61643</v>
      </c>
      <c r="L26" s="207">
        <f t="shared" si="0"/>
        <v>0</v>
      </c>
      <c r="M26" s="207">
        <f>'CD Ratio_2'!F26+'CD Ratio_2'!G26+'CD Ratio_2'!H26</f>
        <v>30151</v>
      </c>
      <c r="N26" s="207">
        <f t="shared" si="1"/>
        <v>0</v>
      </c>
      <c r="O26" s="141"/>
      <c r="P26" s="141"/>
      <c r="Q26" s="141"/>
      <c r="R26" s="141"/>
      <c r="S26" s="141"/>
    </row>
    <row r="27" spans="1:19" ht="14.1" customHeight="1">
      <c r="A27" s="62">
        <v>22</v>
      </c>
      <c r="B27" s="63" t="s">
        <v>70</v>
      </c>
      <c r="C27" s="65">
        <v>10498354</v>
      </c>
      <c r="D27" s="205">
        <v>10179600</v>
      </c>
      <c r="E27" s="65">
        <v>5637466</v>
      </c>
      <c r="F27" s="206">
        <v>5740800</v>
      </c>
      <c r="G27" s="66">
        <f t="shared" si="2"/>
        <v>53.698570271111073</v>
      </c>
      <c r="H27" s="66">
        <f t="shared" si="3"/>
        <v>56.395143227631735</v>
      </c>
      <c r="I27" s="209">
        <f t="shared" si="4"/>
        <v>-3.0362283458911747</v>
      </c>
      <c r="J27" s="209">
        <f t="shared" si="5"/>
        <v>1.8329866645758928</v>
      </c>
      <c r="K27" s="207">
        <f>'CD Ratio_2'!C27+'CD Ratio_2'!D27+'CD Ratio_2'!E27</f>
        <v>10179600</v>
      </c>
      <c r="L27" s="207">
        <f t="shared" si="0"/>
        <v>0</v>
      </c>
      <c r="M27" s="207">
        <f>'CD Ratio_2'!F27+'CD Ratio_2'!G27+'CD Ratio_2'!H27</f>
        <v>5740800</v>
      </c>
      <c r="N27" s="207">
        <f t="shared" si="1"/>
        <v>0</v>
      </c>
      <c r="O27" s="141"/>
      <c r="P27" s="141"/>
      <c r="Q27" s="141"/>
      <c r="R27" s="141"/>
      <c r="S27" s="141"/>
    </row>
    <row r="28" spans="1:19" ht="14.1" customHeight="1">
      <c r="A28" s="62">
        <v>23</v>
      </c>
      <c r="B28" s="63" t="s">
        <v>65</v>
      </c>
      <c r="C28" s="71">
        <v>284529</v>
      </c>
      <c r="D28" s="205">
        <v>251127</v>
      </c>
      <c r="E28" s="71">
        <v>146762</v>
      </c>
      <c r="F28" s="206">
        <v>157631</v>
      </c>
      <c r="G28" s="66">
        <f t="shared" si="2"/>
        <v>51.58068246119025</v>
      </c>
      <c r="H28" s="66">
        <f t="shared" si="3"/>
        <v>62.769435385283145</v>
      </c>
      <c r="I28" s="209">
        <f t="shared" si="4"/>
        <v>-11.739400904652953</v>
      </c>
      <c r="J28" s="209">
        <f t="shared" si="5"/>
        <v>7.405868003979232</v>
      </c>
      <c r="K28" s="207">
        <f>'CD Ratio_2'!C28+'CD Ratio_2'!D28+'CD Ratio_2'!E28</f>
        <v>251127</v>
      </c>
      <c r="L28" s="207">
        <f t="shared" si="0"/>
        <v>0</v>
      </c>
      <c r="M28" s="207">
        <f>'CD Ratio_2'!F28+'CD Ratio_2'!G28+'CD Ratio_2'!H28</f>
        <v>157631</v>
      </c>
      <c r="N28" s="207">
        <f t="shared" si="1"/>
        <v>0</v>
      </c>
      <c r="O28" s="141"/>
      <c r="P28" s="141"/>
      <c r="Q28" s="141"/>
      <c r="R28" s="141"/>
      <c r="S28" s="141"/>
    </row>
    <row r="29" spans="1:19" ht="14.1" customHeight="1">
      <c r="A29" s="62">
        <v>24</v>
      </c>
      <c r="B29" s="63" t="s">
        <v>212</v>
      </c>
      <c r="C29" s="71">
        <v>713111.25</v>
      </c>
      <c r="D29" s="205">
        <v>717718.12</v>
      </c>
      <c r="E29" s="71">
        <v>426821.53</v>
      </c>
      <c r="F29" s="206">
        <v>453356.33</v>
      </c>
      <c r="G29" s="66">
        <f t="shared" si="2"/>
        <v>59.853428199316724</v>
      </c>
      <c r="H29" s="66">
        <f t="shared" si="3"/>
        <v>63.166348649522739</v>
      </c>
      <c r="I29" s="209">
        <f t="shared" si="4"/>
        <v>0.64602402500311074</v>
      </c>
      <c r="J29" s="209">
        <f t="shared" si="5"/>
        <v>6.216837280912233</v>
      </c>
      <c r="K29" s="207">
        <f>'CD Ratio_2'!C29+'CD Ratio_2'!D29+'CD Ratio_2'!E29</f>
        <v>717718.12</v>
      </c>
      <c r="L29" s="207">
        <f t="shared" si="0"/>
        <v>0</v>
      </c>
      <c r="M29" s="207">
        <f>'CD Ratio_2'!F29+'CD Ratio_2'!G29+'CD Ratio_2'!H29</f>
        <v>453356.33</v>
      </c>
      <c r="N29" s="207">
        <f t="shared" si="1"/>
        <v>0</v>
      </c>
      <c r="O29" s="141"/>
      <c r="P29" s="141"/>
      <c r="Q29" s="141"/>
      <c r="R29" s="141"/>
      <c r="S29" s="141"/>
    </row>
    <row r="30" spans="1:19" ht="14.1" customHeight="1">
      <c r="A30" s="62">
        <v>25</v>
      </c>
      <c r="B30" s="63" t="s">
        <v>66</v>
      </c>
      <c r="C30" s="65">
        <v>2217451</v>
      </c>
      <c r="D30" s="205">
        <v>2161324.9300000002</v>
      </c>
      <c r="E30" s="65">
        <v>918545</v>
      </c>
      <c r="F30" s="206">
        <v>976124.27</v>
      </c>
      <c r="G30" s="66">
        <f t="shared" si="2"/>
        <v>41.423463246763966</v>
      </c>
      <c r="H30" s="66">
        <f t="shared" si="3"/>
        <v>45.163235589939731</v>
      </c>
      <c r="I30" s="209">
        <f t="shared" si="4"/>
        <v>-2.5311075644963443</v>
      </c>
      <c r="J30" s="209">
        <f t="shared" si="5"/>
        <v>6.2685301210065942</v>
      </c>
      <c r="K30" s="207">
        <f>'CD Ratio_2'!C30+'CD Ratio_2'!D30+'CD Ratio_2'!E30</f>
        <v>2161324.9299999997</v>
      </c>
      <c r="L30" s="207">
        <f t="shared" si="0"/>
        <v>0</v>
      </c>
      <c r="M30" s="207">
        <f>'CD Ratio_2'!F30+'CD Ratio_2'!G30+'CD Ratio_2'!H30</f>
        <v>976124.27</v>
      </c>
      <c r="N30" s="207">
        <f t="shared" si="1"/>
        <v>0</v>
      </c>
      <c r="O30" s="141"/>
      <c r="P30" s="141"/>
      <c r="Q30" s="141"/>
      <c r="R30" s="141"/>
      <c r="S30" s="141"/>
    </row>
    <row r="31" spans="1:19" ht="14.1" customHeight="1">
      <c r="A31" s="62">
        <v>26</v>
      </c>
      <c r="B31" s="63" t="s">
        <v>67</v>
      </c>
      <c r="C31" s="72">
        <v>31759</v>
      </c>
      <c r="D31" s="205">
        <v>31054</v>
      </c>
      <c r="E31" s="73">
        <v>26456</v>
      </c>
      <c r="F31" s="206">
        <v>28907</v>
      </c>
      <c r="G31" s="66">
        <f t="shared" si="2"/>
        <v>83.302370981454075</v>
      </c>
      <c r="H31" s="66">
        <f t="shared" si="3"/>
        <v>93.086236877696919</v>
      </c>
      <c r="I31" s="209">
        <f t="shared" si="4"/>
        <v>-2.2198431940552283</v>
      </c>
      <c r="J31" s="209">
        <f t="shared" si="5"/>
        <v>9.2644390686422735</v>
      </c>
      <c r="K31" s="207">
        <f>'CD Ratio_2'!C31+'CD Ratio_2'!D31+'CD Ratio_2'!E31</f>
        <v>31054</v>
      </c>
      <c r="L31" s="207">
        <f t="shared" si="0"/>
        <v>0</v>
      </c>
      <c r="M31" s="207">
        <f>'CD Ratio_2'!F31+'CD Ratio_2'!G31+'CD Ratio_2'!H31</f>
        <v>28907</v>
      </c>
      <c r="N31" s="207">
        <f t="shared" si="1"/>
        <v>0</v>
      </c>
      <c r="O31" s="141"/>
      <c r="P31" s="141"/>
      <c r="Q31" s="141"/>
      <c r="R31" s="141"/>
      <c r="S31" s="141"/>
    </row>
    <row r="32" spans="1:19" ht="14.1" customHeight="1">
      <c r="A32" s="62">
        <v>27</v>
      </c>
      <c r="B32" s="63" t="s">
        <v>50</v>
      </c>
      <c r="C32" s="71">
        <v>145839</v>
      </c>
      <c r="D32" s="205">
        <v>128599</v>
      </c>
      <c r="E32" s="71">
        <v>78823</v>
      </c>
      <c r="F32" s="206">
        <v>90448</v>
      </c>
      <c r="G32" s="66">
        <f t="shared" si="2"/>
        <v>54.0479569936711</v>
      </c>
      <c r="H32" s="66">
        <f t="shared" si="3"/>
        <v>70.333361845737528</v>
      </c>
      <c r="I32" s="209">
        <f t="shared" si="4"/>
        <v>-11.821254945522117</v>
      </c>
      <c r="J32" s="209">
        <f t="shared" si="5"/>
        <v>14.748233383657054</v>
      </c>
      <c r="K32" s="207">
        <f>'CD Ratio_2'!C32+'CD Ratio_2'!D32+'CD Ratio_2'!E32</f>
        <v>128599</v>
      </c>
      <c r="L32" s="207">
        <f t="shared" si="0"/>
        <v>0</v>
      </c>
      <c r="M32" s="207">
        <f>'CD Ratio_2'!F32+'CD Ratio_2'!G32+'CD Ratio_2'!H32</f>
        <v>90448</v>
      </c>
      <c r="N32" s="207">
        <f t="shared" si="1"/>
        <v>0</v>
      </c>
      <c r="O32" s="141"/>
      <c r="P32" s="141"/>
      <c r="Q32" s="141"/>
      <c r="R32" s="141"/>
      <c r="S32" s="141"/>
    </row>
    <row r="33" spans="1:19" ht="14.1" customHeight="1">
      <c r="A33" s="62"/>
      <c r="B33" s="74" t="s">
        <v>213</v>
      </c>
      <c r="C33" s="75">
        <f>SUM(C6:C32)</f>
        <v>26821890.829999998</v>
      </c>
      <c r="D33" s="75">
        <f t="shared" ref="D33:F33" si="6">SUM(D6:D32)</f>
        <v>26572831.279999997</v>
      </c>
      <c r="E33" s="75">
        <f t="shared" si="6"/>
        <v>15044177.249999998</v>
      </c>
      <c r="F33" s="75">
        <f t="shared" si="6"/>
        <v>15741730.98</v>
      </c>
      <c r="G33" s="76">
        <f t="shared" si="2"/>
        <v>56.089174865976439</v>
      </c>
      <c r="H33" s="76">
        <f t="shared" si="3"/>
        <v>59.239946297510237</v>
      </c>
      <c r="I33" s="209">
        <f t="shared" si="4"/>
        <v>-0.92856820415296859</v>
      </c>
      <c r="J33" s="209">
        <f t="shared" si="5"/>
        <v>4.6367024158798875</v>
      </c>
      <c r="K33" s="207">
        <f>'CD Ratio_2'!C33+'CD Ratio_2'!D33+'CD Ratio_2'!E33</f>
        <v>26572831.280000001</v>
      </c>
      <c r="L33" s="207">
        <f t="shared" si="0"/>
        <v>0</v>
      </c>
      <c r="M33" s="207">
        <f>'CD Ratio_2'!F33+'CD Ratio_2'!G33+'CD Ratio_2'!H33</f>
        <v>15741730.979999999</v>
      </c>
      <c r="N33" s="207">
        <f t="shared" si="1"/>
        <v>0</v>
      </c>
      <c r="O33" s="141"/>
      <c r="P33" s="141"/>
      <c r="Q33" s="141"/>
      <c r="R33" s="141"/>
      <c r="S33" s="141"/>
    </row>
    <row r="34" spans="1:19" ht="14.1" customHeight="1">
      <c r="A34" s="62">
        <v>28</v>
      </c>
      <c r="B34" s="63" t="s">
        <v>47</v>
      </c>
      <c r="C34" s="77">
        <v>708983.3</v>
      </c>
      <c r="D34" s="205">
        <v>803636.26</v>
      </c>
      <c r="E34" s="77">
        <v>589102.14</v>
      </c>
      <c r="F34" s="206">
        <v>628640.5</v>
      </c>
      <c r="G34" s="66">
        <f t="shared" si="2"/>
        <v>83.091116532646112</v>
      </c>
      <c r="H34" s="66">
        <f t="shared" si="3"/>
        <v>78.224506694110588</v>
      </c>
      <c r="I34" s="209">
        <f t="shared" si="4"/>
        <v>13.350520386023192</v>
      </c>
      <c r="J34" s="209">
        <f t="shared" si="5"/>
        <v>6.7116306859791726</v>
      </c>
      <c r="K34" s="207">
        <f>'CD Ratio_2'!C34+'CD Ratio_2'!D34+'CD Ratio_2'!E34</f>
        <v>803636.26</v>
      </c>
      <c r="L34" s="207">
        <f t="shared" si="0"/>
        <v>0</v>
      </c>
      <c r="M34" s="207">
        <f>'CD Ratio_2'!F34+'CD Ratio_2'!G34+'CD Ratio_2'!H34</f>
        <v>628640.5</v>
      </c>
      <c r="N34" s="207">
        <f t="shared" si="1"/>
        <v>0</v>
      </c>
      <c r="O34" s="141"/>
      <c r="P34" s="141"/>
      <c r="Q34" s="141"/>
      <c r="R34" s="141"/>
      <c r="S34" s="141"/>
    </row>
    <row r="35" spans="1:19" ht="14.1" customHeight="1">
      <c r="A35" s="62">
        <v>29</v>
      </c>
      <c r="B35" s="78" t="s">
        <v>214</v>
      </c>
      <c r="C35" s="69">
        <v>34394</v>
      </c>
      <c r="D35" s="205">
        <v>44796.86</v>
      </c>
      <c r="E35" s="69">
        <v>52638</v>
      </c>
      <c r="F35" s="206">
        <v>74070.820000000007</v>
      </c>
      <c r="G35" s="66">
        <f t="shared" si="2"/>
        <v>153.04413560504739</v>
      </c>
      <c r="H35" s="66">
        <f t="shared" si="3"/>
        <v>165.34824092581491</v>
      </c>
      <c r="I35" s="209">
        <f t="shared" si="4"/>
        <v>30.246147583880909</v>
      </c>
      <c r="J35" s="209">
        <f t="shared" si="5"/>
        <v>40.717390478361658</v>
      </c>
      <c r="K35" s="207">
        <f>'CD Ratio_2'!C35+'CD Ratio_2'!D35+'CD Ratio_2'!E35</f>
        <v>44796.86</v>
      </c>
      <c r="L35" s="207">
        <f t="shared" si="0"/>
        <v>0</v>
      </c>
      <c r="M35" s="207">
        <f>'CD Ratio_2'!F35+'CD Ratio_2'!G35+'CD Ratio_2'!H35</f>
        <v>74070.820000000007</v>
      </c>
      <c r="N35" s="207">
        <f t="shared" si="1"/>
        <v>0</v>
      </c>
      <c r="O35" s="141"/>
      <c r="P35" s="141"/>
      <c r="Q35" s="141"/>
      <c r="R35" s="141"/>
      <c r="S35" s="141"/>
    </row>
    <row r="36" spans="1:19" ht="14.1" customHeight="1">
      <c r="A36" s="62">
        <v>30</v>
      </c>
      <c r="B36" s="63" t="s">
        <v>232</v>
      </c>
      <c r="C36" s="79">
        <v>3601</v>
      </c>
      <c r="D36" s="205">
        <v>3755.11</v>
      </c>
      <c r="E36" s="80">
        <v>704</v>
      </c>
      <c r="F36" s="206">
        <v>678.05</v>
      </c>
      <c r="G36" s="66">
        <f t="shared" si="2"/>
        <v>19.55012496528742</v>
      </c>
      <c r="H36" s="66">
        <f t="shared" si="3"/>
        <v>18.056728031935148</v>
      </c>
      <c r="I36" s="209">
        <f t="shared" si="4"/>
        <v>4.279644543182453</v>
      </c>
      <c r="J36" s="209">
        <f t="shared" si="5"/>
        <v>-3.6860795454545521</v>
      </c>
      <c r="K36" s="207">
        <f>'CD Ratio_2'!C36+'CD Ratio_2'!D36+'CD Ratio_2'!E36</f>
        <v>3755</v>
      </c>
      <c r="L36" s="207">
        <f t="shared" si="0"/>
        <v>0.11000000000012733</v>
      </c>
      <c r="M36" s="207">
        <f>'CD Ratio_2'!F36+'CD Ratio_2'!G36+'CD Ratio_2'!H36</f>
        <v>678</v>
      </c>
      <c r="N36" s="207">
        <f t="shared" si="1"/>
        <v>4.9999999999954525E-2</v>
      </c>
      <c r="O36" s="141"/>
      <c r="P36" s="141"/>
      <c r="Q36" s="141"/>
      <c r="R36" s="141"/>
      <c r="S36" s="141"/>
    </row>
    <row r="37" spans="1:19" ht="14.1" customHeight="1">
      <c r="A37" s="62">
        <v>31</v>
      </c>
      <c r="B37" s="63" t="s">
        <v>78</v>
      </c>
      <c r="C37" s="80">
        <v>3984</v>
      </c>
      <c r="D37" s="205">
        <v>3753</v>
      </c>
      <c r="E37" s="80">
        <v>1.98</v>
      </c>
      <c r="F37" s="206">
        <v>1</v>
      </c>
      <c r="G37" s="66">
        <f t="shared" si="2"/>
        <v>4.9698795180722892E-2</v>
      </c>
      <c r="H37" s="66">
        <f t="shared" si="3"/>
        <v>2.664535038635758E-2</v>
      </c>
      <c r="I37" s="209">
        <f t="shared" si="4"/>
        <v>-5.7981927710843371</v>
      </c>
      <c r="J37" s="209">
        <f t="shared" si="5"/>
        <v>-49.494949494949495</v>
      </c>
      <c r="K37" s="207">
        <f>'CD Ratio_2'!C37+'CD Ratio_2'!D37+'CD Ratio_2'!E37</f>
        <v>3753</v>
      </c>
      <c r="L37" s="207">
        <f t="shared" si="0"/>
        <v>0</v>
      </c>
      <c r="M37" s="207">
        <f>'CD Ratio_2'!F37+'CD Ratio_2'!G37+'CD Ratio_2'!H37</f>
        <v>1</v>
      </c>
      <c r="N37" s="207">
        <f t="shared" si="1"/>
        <v>0</v>
      </c>
      <c r="O37" s="141"/>
      <c r="P37" s="141"/>
      <c r="Q37" s="141"/>
      <c r="R37" s="141"/>
      <c r="S37" s="141"/>
    </row>
    <row r="38" spans="1:19" ht="14.1" customHeight="1">
      <c r="A38" s="62">
        <v>32</v>
      </c>
      <c r="B38" s="63" t="s">
        <v>51</v>
      </c>
      <c r="C38" s="69">
        <v>6470</v>
      </c>
      <c r="D38" s="205">
        <v>5112.91</v>
      </c>
      <c r="E38" s="69">
        <v>8522</v>
      </c>
      <c r="F38" s="206">
        <v>9412.56</v>
      </c>
      <c r="G38" s="66">
        <f t="shared" si="2"/>
        <v>131.71561051004636</v>
      </c>
      <c r="H38" s="66">
        <f t="shared" si="3"/>
        <v>184.09398952846814</v>
      </c>
      <c r="I38" s="209">
        <f t="shared" si="4"/>
        <v>-20.975115919629058</v>
      </c>
      <c r="J38" s="209">
        <f t="shared" si="5"/>
        <v>10.450129077681289</v>
      </c>
      <c r="K38" s="207">
        <f>'CD Ratio_2'!C38+'CD Ratio_2'!D38+'CD Ratio_2'!E38</f>
        <v>5112.91</v>
      </c>
      <c r="L38" s="207">
        <f t="shared" ref="L38:L63" si="7">D38-K38</f>
        <v>0</v>
      </c>
      <c r="M38" s="207">
        <f>'CD Ratio_2'!F38+'CD Ratio_2'!G38+'CD Ratio_2'!H38</f>
        <v>9412.56</v>
      </c>
      <c r="N38" s="207">
        <f t="shared" si="1"/>
        <v>0</v>
      </c>
      <c r="O38" s="141"/>
      <c r="P38" s="141"/>
      <c r="Q38" s="141"/>
      <c r="R38" s="141"/>
      <c r="S38" s="141"/>
    </row>
    <row r="39" spans="1:19" ht="14.1" customHeight="1">
      <c r="A39" s="62">
        <v>33</v>
      </c>
      <c r="B39" s="63" t="s">
        <v>216</v>
      </c>
      <c r="C39" s="79">
        <v>16402</v>
      </c>
      <c r="D39" s="205">
        <v>12113.37</v>
      </c>
      <c r="E39" s="80">
        <v>48279</v>
      </c>
      <c r="F39" s="206">
        <v>56378.25</v>
      </c>
      <c r="G39" s="66">
        <f t="shared" si="2"/>
        <v>294.34825021338861</v>
      </c>
      <c r="H39" s="66">
        <f t="shared" si="3"/>
        <v>465.42167869057079</v>
      </c>
      <c r="I39" s="209">
        <f t="shared" si="4"/>
        <v>-26.146994268991584</v>
      </c>
      <c r="J39" s="209">
        <f t="shared" si="5"/>
        <v>16.775927421860438</v>
      </c>
      <c r="K39" s="207">
        <f>'CD Ratio_2'!C39+'CD Ratio_2'!D39+'CD Ratio_2'!E39</f>
        <v>12113.85</v>
      </c>
      <c r="L39" s="207">
        <f t="shared" si="7"/>
        <v>-0.47999999999956344</v>
      </c>
      <c r="M39" s="207">
        <f>'CD Ratio_2'!F39+'CD Ratio_2'!G39+'CD Ratio_2'!H39</f>
        <v>56378.5</v>
      </c>
      <c r="N39" s="207">
        <f t="shared" si="1"/>
        <v>-0.25</v>
      </c>
      <c r="O39" s="141"/>
      <c r="P39" s="141"/>
      <c r="Q39" s="141"/>
      <c r="R39" s="141"/>
      <c r="S39" s="141"/>
    </row>
    <row r="40" spans="1:19" ht="14.1" customHeight="1">
      <c r="A40" s="62">
        <v>34</v>
      </c>
      <c r="B40" s="63" t="s">
        <v>89</v>
      </c>
      <c r="C40" s="71">
        <v>803</v>
      </c>
      <c r="D40" s="205">
        <v>833.68</v>
      </c>
      <c r="E40" s="71">
        <v>35</v>
      </c>
      <c r="F40" s="206">
        <v>41.06</v>
      </c>
      <c r="G40" s="66">
        <f t="shared" si="2"/>
        <v>4.3586550435865501</v>
      </c>
      <c r="H40" s="66">
        <f t="shared" si="3"/>
        <v>4.9251511371269556</v>
      </c>
      <c r="I40" s="209">
        <f t="shared" si="4"/>
        <v>3.8206724782067187</v>
      </c>
      <c r="J40" s="209">
        <f t="shared" si="5"/>
        <v>17.31428571428572</v>
      </c>
      <c r="K40" s="207">
        <f>'CD Ratio_2'!C40+'CD Ratio_2'!D40+'CD Ratio_2'!E40</f>
        <v>834</v>
      </c>
      <c r="L40" s="207">
        <f t="shared" si="7"/>
        <v>-0.32000000000005002</v>
      </c>
      <c r="M40" s="207">
        <f>'CD Ratio_2'!F40+'CD Ratio_2'!G40+'CD Ratio_2'!H40</f>
        <v>41</v>
      </c>
      <c r="N40" s="207">
        <f t="shared" si="1"/>
        <v>6.0000000000002274E-2</v>
      </c>
      <c r="O40" s="141"/>
      <c r="P40" s="141"/>
      <c r="Q40" s="141"/>
      <c r="R40" s="141"/>
      <c r="S40" s="141"/>
    </row>
    <row r="41" spans="1:19" ht="14.1" customHeight="1">
      <c r="A41" s="62">
        <v>35</v>
      </c>
      <c r="B41" s="63" t="s">
        <v>218</v>
      </c>
      <c r="C41" s="64">
        <v>47255.02</v>
      </c>
      <c r="D41" s="205">
        <v>49554</v>
      </c>
      <c r="E41" s="64">
        <v>15484.12</v>
      </c>
      <c r="F41" s="206">
        <v>18364</v>
      </c>
      <c r="G41" s="66">
        <f t="shared" si="2"/>
        <v>32.76714304638957</v>
      </c>
      <c r="H41" s="66">
        <f t="shared" si="3"/>
        <v>37.058562376397468</v>
      </c>
      <c r="I41" s="209">
        <f t="shared" si="4"/>
        <v>4.8650492582587068</v>
      </c>
      <c r="J41" s="209">
        <f t="shared" si="5"/>
        <v>18.598925867275629</v>
      </c>
      <c r="K41" s="207">
        <f>'CD Ratio_2'!C41+'CD Ratio_2'!D41+'CD Ratio_2'!E41</f>
        <v>49554</v>
      </c>
      <c r="L41" s="207">
        <f t="shared" si="7"/>
        <v>0</v>
      </c>
      <c r="M41" s="207">
        <f>'CD Ratio_2'!F41+'CD Ratio_2'!G41+'CD Ratio_2'!H41</f>
        <v>18364</v>
      </c>
      <c r="N41" s="207">
        <f t="shared" si="1"/>
        <v>0</v>
      </c>
      <c r="O41" s="141"/>
      <c r="P41" s="141"/>
      <c r="Q41" s="141"/>
      <c r="R41" s="141"/>
      <c r="S41" s="141"/>
    </row>
    <row r="42" spans="1:19" ht="14.1" customHeight="1">
      <c r="A42" s="62">
        <v>36</v>
      </c>
      <c r="B42" s="63" t="s">
        <v>71</v>
      </c>
      <c r="C42" s="64">
        <v>813489</v>
      </c>
      <c r="D42" s="205">
        <v>771394</v>
      </c>
      <c r="E42" s="64">
        <v>1177664</v>
      </c>
      <c r="F42" s="206">
        <v>1311460</v>
      </c>
      <c r="G42" s="66">
        <f t="shared" si="2"/>
        <v>144.76704663492683</v>
      </c>
      <c r="H42" s="66">
        <f t="shared" si="3"/>
        <v>170.01169311661744</v>
      </c>
      <c r="I42" s="209">
        <f t="shared" si="4"/>
        <v>-5.1746243649268768</v>
      </c>
      <c r="J42" s="209">
        <f t="shared" si="5"/>
        <v>11.361135264387805</v>
      </c>
      <c r="K42" s="207">
        <f>'CD Ratio_2'!C42+'CD Ratio_2'!D42+'CD Ratio_2'!E42</f>
        <v>771394</v>
      </c>
      <c r="L42" s="207">
        <f t="shared" si="7"/>
        <v>0</v>
      </c>
      <c r="M42" s="207">
        <f>'CD Ratio_2'!F42+'CD Ratio_2'!G42+'CD Ratio_2'!H42</f>
        <v>1311460</v>
      </c>
      <c r="N42" s="207">
        <f t="shared" si="1"/>
        <v>0</v>
      </c>
      <c r="O42" s="141"/>
      <c r="P42" s="141"/>
      <c r="Q42" s="141"/>
      <c r="R42" s="141"/>
      <c r="S42" s="141"/>
    </row>
    <row r="43" spans="1:19" ht="14.1" customHeight="1">
      <c r="A43" s="62">
        <v>37</v>
      </c>
      <c r="B43" s="63" t="s">
        <v>72</v>
      </c>
      <c r="C43" s="64">
        <v>715859</v>
      </c>
      <c r="D43" s="205">
        <v>729415</v>
      </c>
      <c r="E43" s="64">
        <v>1049319</v>
      </c>
      <c r="F43" s="206">
        <v>1111730</v>
      </c>
      <c r="G43" s="66">
        <f t="shared" si="2"/>
        <v>146.58179892967749</v>
      </c>
      <c r="H43" s="66">
        <f t="shared" si="3"/>
        <v>152.41392074470639</v>
      </c>
      <c r="I43" s="209">
        <f t="shared" si="4"/>
        <v>1.893669004650357</v>
      </c>
      <c r="J43" s="209">
        <f t="shared" si="5"/>
        <v>5.9477623106033528</v>
      </c>
      <c r="K43" s="207">
        <f>'CD Ratio_2'!C43+'CD Ratio_2'!D43+'CD Ratio_2'!E43</f>
        <v>729415</v>
      </c>
      <c r="L43" s="207">
        <f t="shared" si="7"/>
        <v>0</v>
      </c>
      <c r="M43" s="207">
        <f>'CD Ratio_2'!F43+'CD Ratio_2'!G43+'CD Ratio_2'!H43</f>
        <v>1111730</v>
      </c>
      <c r="N43" s="207">
        <f t="shared" si="1"/>
        <v>0</v>
      </c>
      <c r="O43" s="141"/>
      <c r="P43" s="141"/>
      <c r="Q43" s="141"/>
      <c r="R43" s="141"/>
      <c r="S43" s="141"/>
    </row>
    <row r="44" spans="1:19" ht="14.1" customHeight="1">
      <c r="A44" s="62">
        <v>38</v>
      </c>
      <c r="B44" s="63" t="s">
        <v>219</v>
      </c>
      <c r="C44" s="79">
        <v>5161</v>
      </c>
      <c r="D44" s="205">
        <v>7952</v>
      </c>
      <c r="E44" s="80">
        <v>15392</v>
      </c>
      <c r="F44" s="206">
        <v>18890</v>
      </c>
      <c r="G44" s="66">
        <f t="shared" si="2"/>
        <v>298.23677581863979</v>
      </c>
      <c r="H44" s="66">
        <f t="shared" si="3"/>
        <v>237.55030181086519</v>
      </c>
      <c r="I44" s="209">
        <f t="shared" si="4"/>
        <v>54.078666925014531</v>
      </c>
      <c r="J44" s="209">
        <f t="shared" si="5"/>
        <v>22.726091476091476</v>
      </c>
      <c r="K44" s="207">
        <f>'CD Ratio_2'!C44+'CD Ratio_2'!D44+'CD Ratio_2'!E44</f>
        <v>5353</v>
      </c>
      <c r="L44" s="207">
        <f t="shared" si="7"/>
        <v>2599</v>
      </c>
      <c r="M44" s="207">
        <f>'CD Ratio_2'!F44+'CD Ratio_2'!G44+'CD Ratio_2'!H44</f>
        <v>18890</v>
      </c>
      <c r="N44" s="207">
        <f t="shared" si="1"/>
        <v>0</v>
      </c>
      <c r="O44" s="141"/>
      <c r="P44" s="141"/>
      <c r="Q44" s="141"/>
      <c r="R44" s="141"/>
      <c r="S44" s="141"/>
    </row>
    <row r="45" spans="1:19" ht="14.1" customHeight="1">
      <c r="A45" s="62">
        <v>39</v>
      </c>
      <c r="B45" s="63" t="s">
        <v>90</v>
      </c>
      <c r="C45" s="65">
        <v>106725</v>
      </c>
      <c r="D45" s="205">
        <v>122030</v>
      </c>
      <c r="E45" s="69">
        <v>267846</v>
      </c>
      <c r="F45" s="206">
        <v>290400</v>
      </c>
      <c r="G45" s="66">
        <f t="shared" si="2"/>
        <v>250.96837666900913</v>
      </c>
      <c r="H45" s="66">
        <f t="shared" si="3"/>
        <v>237.97426862246988</v>
      </c>
      <c r="I45" s="209">
        <f t="shared" si="4"/>
        <v>14.34059498711642</v>
      </c>
      <c r="J45" s="209">
        <f t="shared" si="5"/>
        <v>8.4205102932281974</v>
      </c>
      <c r="K45" s="207">
        <f>'CD Ratio_2'!C45+'CD Ratio_2'!D45+'CD Ratio_2'!E45</f>
        <v>122030</v>
      </c>
      <c r="L45" s="207">
        <f t="shared" si="7"/>
        <v>0</v>
      </c>
      <c r="M45" s="207">
        <f>'CD Ratio_2'!F45+'CD Ratio_2'!G45+'CD Ratio_2'!H45</f>
        <v>290400</v>
      </c>
      <c r="N45" s="207">
        <f t="shared" si="1"/>
        <v>0</v>
      </c>
      <c r="O45" s="141"/>
      <c r="P45" s="141"/>
      <c r="Q45" s="141"/>
      <c r="R45" s="141"/>
      <c r="S45" s="141"/>
    </row>
    <row r="46" spans="1:19" ht="14.1" customHeight="1">
      <c r="A46" s="62">
        <v>40</v>
      </c>
      <c r="B46" s="63" t="s">
        <v>233</v>
      </c>
      <c r="C46" s="71">
        <v>15169</v>
      </c>
      <c r="D46" s="205">
        <v>14464</v>
      </c>
      <c r="E46" s="71">
        <v>3241</v>
      </c>
      <c r="F46" s="206">
        <v>3224</v>
      </c>
      <c r="G46" s="66">
        <f t="shared" si="2"/>
        <v>21.365943700969083</v>
      </c>
      <c r="H46" s="66">
        <f t="shared" si="3"/>
        <v>22.289823008849556</v>
      </c>
      <c r="I46" s="209">
        <f t="shared" si="4"/>
        <v>-4.6476366273320586</v>
      </c>
      <c r="J46" s="209">
        <f t="shared" si="5"/>
        <v>-0.52452946621413143</v>
      </c>
      <c r="K46" s="207">
        <f>'CD Ratio_2'!C46+'CD Ratio_2'!D46+'CD Ratio_2'!E46</f>
        <v>14464</v>
      </c>
      <c r="L46" s="207">
        <f t="shared" si="7"/>
        <v>0</v>
      </c>
      <c r="M46" s="207">
        <f>'CD Ratio_2'!F46+'CD Ratio_2'!G46+'CD Ratio_2'!H46</f>
        <v>3224</v>
      </c>
      <c r="N46" s="207">
        <f t="shared" si="1"/>
        <v>0</v>
      </c>
      <c r="O46" s="141"/>
      <c r="P46" s="141"/>
      <c r="Q46" s="141"/>
      <c r="R46" s="141"/>
      <c r="S46" s="141"/>
    </row>
    <row r="47" spans="1:19" ht="14.1" customHeight="1">
      <c r="A47" s="62">
        <v>41</v>
      </c>
      <c r="B47" s="63" t="s">
        <v>88</v>
      </c>
      <c r="C47" s="69">
        <v>21230</v>
      </c>
      <c r="D47" s="205">
        <v>21171</v>
      </c>
      <c r="E47" s="69">
        <v>31778</v>
      </c>
      <c r="F47" s="206">
        <v>35486</v>
      </c>
      <c r="G47" s="66">
        <f t="shared" si="2"/>
        <v>149.68440885539331</v>
      </c>
      <c r="H47" s="66">
        <f t="shared" si="3"/>
        <v>167.61607859808228</v>
      </c>
      <c r="I47" s="209">
        <f t="shared" si="4"/>
        <v>-0.27790861987753179</v>
      </c>
      <c r="J47" s="209">
        <f t="shared" si="5"/>
        <v>11.668449870979924</v>
      </c>
      <c r="K47" s="207">
        <f>'CD Ratio_2'!C47+'CD Ratio_2'!D47+'CD Ratio_2'!E47</f>
        <v>21171</v>
      </c>
      <c r="L47" s="207">
        <f t="shared" si="7"/>
        <v>0</v>
      </c>
      <c r="M47" s="207">
        <f>'CD Ratio_2'!F47+'CD Ratio_2'!G47+'CD Ratio_2'!H47</f>
        <v>35486</v>
      </c>
      <c r="N47" s="207">
        <f t="shared" si="1"/>
        <v>0</v>
      </c>
      <c r="O47" s="141"/>
      <c r="P47" s="141"/>
      <c r="Q47" s="141"/>
      <c r="R47" s="141"/>
      <c r="S47" s="141"/>
    </row>
    <row r="48" spans="1:19" ht="14.1" customHeight="1">
      <c r="A48" s="62">
        <v>42</v>
      </c>
      <c r="B48" s="63" t="s">
        <v>93</v>
      </c>
      <c r="C48" s="69">
        <v>22501</v>
      </c>
      <c r="D48" s="205">
        <v>21489</v>
      </c>
      <c r="E48" s="69">
        <v>13802</v>
      </c>
      <c r="F48" s="206">
        <v>15667</v>
      </c>
      <c r="G48" s="66">
        <f t="shared" si="2"/>
        <v>61.339496022399004</v>
      </c>
      <c r="H48" s="66">
        <f t="shared" si="3"/>
        <v>72.90706873284006</v>
      </c>
      <c r="I48" s="209">
        <f t="shared" si="4"/>
        <v>-4.4975778854273143</v>
      </c>
      <c r="J48" s="209">
        <f t="shared" si="5"/>
        <v>13.512534415302131</v>
      </c>
      <c r="K48" s="207">
        <f>'CD Ratio_2'!C48+'CD Ratio_2'!D48+'CD Ratio_2'!E48</f>
        <v>21489</v>
      </c>
      <c r="L48" s="207">
        <f t="shared" si="7"/>
        <v>0</v>
      </c>
      <c r="M48" s="207">
        <f>'CD Ratio_2'!F48+'CD Ratio_2'!G48+'CD Ratio_2'!H48</f>
        <v>15667</v>
      </c>
      <c r="N48" s="207">
        <f t="shared" si="1"/>
        <v>0</v>
      </c>
      <c r="O48" s="141"/>
      <c r="P48" s="141"/>
      <c r="Q48" s="141"/>
      <c r="R48" s="141"/>
      <c r="S48" s="141"/>
    </row>
    <row r="49" spans="1:19" ht="14.1" customHeight="1">
      <c r="A49" s="62">
        <v>43</v>
      </c>
      <c r="B49" s="63" t="s">
        <v>73</v>
      </c>
      <c r="C49" s="70">
        <v>120978</v>
      </c>
      <c r="D49" s="205">
        <v>141010</v>
      </c>
      <c r="E49" s="70">
        <v>223050</v>
      </c>
      <c r="F49" s="206">
        <v>231599</v>
      </c>
      <c r="G49" s="66">
        <f t="shared" si="2"/>
        <v>184.37236522342906</v>
      </c>
      <c r="H49" s="66">
        <f t="shared" si="3"/>
        <v>164.24296149209275</v>
      </c>
      <c r="I49" s="209">
        <f t="shared" si="4"/>
        <v>16.558382515829326</v>
      </c>
      <c r="J49" s="209">
        <f t="shared" si="5"/>
        <v>3.8327729208697603</v>
      </c>
      <c r="K49" s="207">
        <f>'CD Ratio_2'!C49+'CD Ratio_2'!D49+'CD Ratio_2'!E49</f>
        <v>141010</v>
      </c>
      <c r="L49" s="207">
        <f t="shared" si="7"/>
        <v>0</v>
      </c>
      <c r="M49" s="207">
        <f>'CD Ratio_2'!F49+'CD Ratio_2'!G49+'CD Ratio_2'!H49</f>
        <v>231599</v>
      </c>
      <c r="N49" s="207">
        <f t="shared" si="1"/>
        <v>0</v>
      </c>
      <c r="O49" s="141"/>
      <c r="P49" s="141"/>
      <c r="Q49" s="141"/>
      <c r="R49" s="141"/>
      <c r="S49" s="141"/>
    </row>
    <row r="50" spans="1:19" ht="14.1" customHeight="1">
      <c r="A50" s="62">
        <v>44</v>
      </c>
      <c r="B50" s="63" t="s">
        <v>91</v>
      </c>
      <c r="C50" s="71">
        <v>12314</v>
      </c>
      <c r="D50" s="205">
        <v>13338</v>
      </c>
      <c r="E50" s="71">
        <v>4538</v>
      </c>
      <c r="F50" s="206">
        <v>5895</v>
      </c>
      <c r="G50" s="66">
        <f t="shared" si="2"/>
        <v>36.852363163878515</v>
      </c>
      <c r="H50" s="66">
        <f t="shared" si="3"/>
        <v>44.197031039136306</v>
      </c>
      <c r="I50" s="209">
        <f t="shared" si="4"/>
        <v>8.3157381841806082</v>
      </c>
      <c r="J50" s="209">
        <f t="shared" si="5"/>
        <v>29.90304098721904</v>
      </c>
      <c r="K50" s="207">
        <f>'CD Ratio_2'!C50+'CD Ratio_2'!D50+'CD Ratio_2'!E50</f>
        <v>13338</v>
      </c>
      <c r="L50" s="207">
        <f t="shared" si="7"/>
        <v>0</v>
      </c>
      <c r="M50" s="207">
        <f>'CD Ratio_2'!F50+'CD Ratio_2'!G50+'CD Ratio_2'!H50</f>
        <v>5895</v>
      </c>
      <c r="N50" s="207">
        <f t="shared" si="1"/>
        <v>0</v>
      </c>
      <c r="O50" s="141"/>
      <c r="P50" s="141"/>
      <c r="Q50" s="141"/>
      <c r="R50" s="141"/>
      <c r="S50" s="141"/>
    </row>
    <row r="51" spans="1:19" ht="14.1" customHeight="1">
      <c r="A51" s="62">
        <v>45</v>
      </c>
      <c r="B51" s="63" t="s">
        <v>75</v>
      </c>
      <c r="C51" s="69">
        <v>45829</v>
      </c>
      <c r="D51" s="205">
        <v>27171</v>
      </c>
      <c r="E51" s="71">
        <v>82932</v>
      </c>
      <c r="F51" s="206">
        <v>68912</v>
      </c>
      <c r="G51" s="66">
        <f t="shared" si="2"/>
        <v>180.959654367322</v>
      </c>
      <c r="H51" s="66">
        <f t="shared" si="3"/>
        <v>253.62334842295095</v>
      </c>
      <c r="I51" s="209">
        <f t="shared" si="4"/>
        <v>-40.712212791027518</v>
      </c>
      <c r="J51" s="209">
        <f t="shared" si="5"/>
        <v>-16.905416485795591</v>
      </c>
      <c r="K51" s="207">
        <f>'CD Ratio_2'!C51+'CD Ratio_2'!D51+'CD Ratio_2'!E51</f>
        <v>27171</v>
      </c>
      <c r="L51" s="207">
        <f t="shared" si="7"/>
        <v>0</v>
      </c>
      <c r="M51" s="207">
        <f>'CD Ratio_2'!F51+'CD Ratio_2'!G51+'CD Ratio_2'!H51</f>
        <v>68912</v>
      </c>
      <c r="N51" s="207">
        <f t="shared" si="1"/>
        <v>0</v>
      </c>
      <c r="O51" s="141"/>
      <c r="P51" s="141"/>
      <c r="Q51" s="141"/>
      <c r="R51" s="141"/>
      <c r="S51" s="141"/>
    </row>
    <row r="52" spans="1:19" ht="14.1" customHeight="1">
      <c r="A52" s="62">
        <v>46</v>
      </c>
      <c r="B52" s="63" t="s">
        <v>226</v>
      </c>
      <c r="C52" s="81">
        <v>14014.89</v>
      </c>
      <c r="D52" s="205">
        <v>14177.01</v>
      </c>
      <c r="E52" s="81">
        <v>5218.17</v>
      </c>
      <c r="F52" s="206">
        <v>5960.2</v>
      </c>
      <c r="G52" s="66">
        <f t="shared" si="2"/>
        <v>37.233042856561845</v>
      </c>
      <c r="H52" s="66">
        <f t="shared" si="3"/>
        <v>42.04130490138612</v>
      </c>
      <c r="I52" s="209">
        <f t="shared" si="4"/>
        <v>1.1567696928053006</v>
      </c>
      <c r="J52" s="209">
        <f t="shared" si="5"/>
        <v>14.220119313859067</v>
      </c>
      <c r="K52" s="207">
        <f>'CD Ratio_2'!C52+'CD Ratio_2'!D52+'CD Ratio_2'!E52</f>
        <v>14177.01</v>
      </c>
      <c r="L52" s="207">
        <f t="shared" si="7"/>
        <v>0</v>
      </c>
      <c r="M52" s="207">
        <f>'CD Ratio_2'!F52+'CD Ratio_2'!G52+'CD Ratio_2'!H52</f>
        <v>5960.2</v>
      </c>
      <c r="N52" s="207">
        <f t="shared" si="1"/>
        <v>0</v>
      </c>
      <c r="O52" s="141"/>
      <c r="P52" s="141"/>
      <c r="Q52" s="141"/>
      <c r="R52" s="141"/>
      <c r="S52" s="141"/>
    </row>
    <row r="53" spans="1:19" ht="14.1" customHeight="1">
      <c r="A53" s="62">
        <v>47</v>
      </c>
      <c r="B53" s="63" t="s">
        <v>77</v>
      </c>
      <c r="C53" s="79">
        <v>19677</v>
      </c>
      <c r="D53" s="205">
        <v>4190</v>
      </c>
      <c r="E53" s="80">
        <v>6120</v>
      </c>
      <c r="F53" s="206">
        <v>1974</v>
      </c>
      <c r="G53" s="66">
        <f t="shared" si="2"/>
        <v>31.102302180210398</v>
      </c>
      <c r="H53" s="66">
        <f t="shared" si="3"/>
        <v>47.112171837708829</v>
      </c>
      <c r="I53" s="209">
        <f t="shared" si="4"/>
        <v>-78.706103572699092</v>
      </c>
      <c r="J53" s="209">
        <f t="shared" si="5"/>
        <v>-67.745098039215691</v>
      </c>
      <c r="K53" s="207">
        <f>'CD Ratio_2'!C53+'CD Ratio_2'!D53+'CD Ratio_2'!E53</f>
        <v>4190</v>
      </c>
      <c r="L53" s="207">
        <f t="shared" si="7"/>
        <v>0</v>
      </c>
      <c r="M53" s="207">
        <f>'CD Ratio_2'!F53+'CD Ratio_2'!G53+'CD Ratio_2'!H53</f>
        <v>1974</v>
      </c>
      <c r="N53" s="207">
        <f t="shared" si="1"/>
        <v>0</v>
      </c>
      <c r="O53" s="141"/>
      <c r="P53" s="141"/>
      <c r="Q53" s="141"/>
      <c r="R53" s="141"/>
      <c r="S53" s="141"/>
    </row>
    <row r="54" spans="1:19" ht="14.1" customHeight="1">
      <c r="A54" s="62">
        <v>48</v>
      </c>
      <c r="B54" s="63" t="s">
        <v>234</v>
      </c>
      <c r="C54" s="79">
        <v>1624</v>
      </c>
      <c r="D54" s="205">
        <v>1613.04</v>
      </c>
      <c r="E54" s="80">
        <v>5163</v>
      </c>
      <c r="F54" s="206">
        <v>5256.98</v>
      </c>
      <c r="G54" s="66">
        <f t="shared" si="2"/>
        <v>317.91871921182263</v>
      </c>
      <c r="H54" s="66">
        <f t="shared" si="3"/>
        <v>325.90512324554879</v>
      </c>
      <c r="I54" s="209">
        <f t="shared" si="4"/>
        <v>-0.67487684729064268</v>
      </c>
      <c r="J54" s="209">
        <f t="shared" si="5"/>
        <v>1.8202595390276886</v>
      </c>
      <c r="K54" s="207">
        <f>'CD Ratio_2'!C54+'CD Ratio_2'!D54+'CD Ratio_2'!E54</f>
        <v>1613.04</v>
      </c>
      <c r="L54" s="207">
        <f t="shared" si="7"/>
        <v>0</v>
      </c>
      <c r="M54" s="207">
        <f>'CD Ratio_2'!F54+'CD Ratio_2'!G54+'CD Ratio_2'!H54</f>
        <v>5256.98</v>
      </c>
      <c r="N54" s="207">
        <f t="shared" si="1"/>
        <v>0</v>
      </c>
      <c r="O54" s="141"/>
      <c r="P54" s="141"/>
      <c r="Q54" s="141"/>
      <c r="R54" s="141"/>
      <c r="S54" s="141"/>
    </row>
    <row r="55" spans="1:19" ht="14.1" customHeight="1">
      <c r="A55" s="62">
        <v>49</v>
      </c>
      <c r="B55" s="63" t="s">
        <v>76</v>
      </c>
      <c r="C55" s="70">
        <v>124354</v>
      </c>
      <c r="D55" s="205">
        <v>186984.25</v>
      </c>
      <c r="E55" s="70">
        <v>73566</v>
      </c>
      <c r="F55" s="206">
        <v>90252.9</v>
      </c>
      <c r="G55" s="66">
        <f t="shared" si="2"/>
        <v>59.158531289705195</v>
      </c>
      <c r="H55" s="66">
        <f t="shared" si="3"/>
        <v>48.267648211012428</v>
      </c>
      <c r="I55" s="209">
        <f t="shared" si="4"/>
        <v>50.364483651511009</v>
      </c>
      <c r="J55" s="209">
        <f t="shared" si="5"/>
        <v>22.682896990457543</v>
      </c>
      <c r="K55" s="207">
        <f>'CD Ratio_2'!C55+'CD Ratio_2'!D55+'CD Ratio_2'!E55</f>
        <v>186984.24999999997</v>
      </c>
      <c r="L55" s="207">
        <f t="shared" si="7"/>
        <v>0</v>
      </c>
      <c r="M55" s="207">
        <f>'CD Ratio_2'!F55+'CD Ratio_2'!G55+'CD Ratio_2'!H55</f>
        <v>90252.9</v>
      </c>
      <c r="N55" s="207">
        <f t="shared" si="1"/>
        <v>0</v>
      </c>
      <c r="O55" s="141"/>
      <c r="P55" s="141"/>
      <c r="Q55" s="141"/>
      <c r="R55" s="141"/>
      <c r="S55" s="141"/>
    </row>
    <row r="56" spans="1:19" ht="14.1" customHeight="1">
      <c r="A56" s="62"/>
      <c r="B56" s="74" t="s">
        <v>235</v>
      </c>
      <c r="C56" s="75">
        <f>SUM(C34:C55)</f>
        <v>2860817.2100000004</v>
      </c>
      <c r="D56" s="75">
        <f t="shared" ref="D56:F56" si="8">SUM(D34:D55)</f>
        <v>2999953.4899999998</v>
      </c>
      <c r="E56" s="75">
        <f t="shared" si="8"/>
        <v>3674395.41</v>
      </c>
      <c r="F56" s="75">
        <f t="shared" si="8"/>
        <v>3984293.3200000003</v>
      </c>
      <c r="G56" s="76">
        <f t="shared" si="2"/>
        <v>128.43866420951792</v>
      </c>
      <c r="H56" s="76">
        <f t="shared" si="3"/>
        <v>132.81183635950305</v>
      </c>
      <c r="I56" s="209">
        <f t="shared" si="4"/>
        <v>4.8635152051535409</v>
      </c>
      <c r="J56" s="209">
        <f t="shared" si="5"/>
        <v>8.4339837012805354</v>
      </c>
      <c r="K56" s="207">
        <f>'CD Ratio_2'!C56+'CD Ratio_2'!D56+'CD Ratio_2'!E56</f>
        <v>2997355.1800000006</v>
      </c>
      <c r="L56" s="207">
        <f t="shared" si="7"/>
        <v>2598.3099999991246</v>
      </c>
      <c r="M56" s="207">
        <f>'CD Ratio_2'!F56+'CD Ratio_2'!G56+'CD Ratio_2'!H56</f>
        <v>3984293.46</v>
      </c>
      <c r="N56" s="207">
        <f t="shared" si="1"/>
        <v>-0.13999999966472387</v>
      </c>
      <c r="O56" s="141"/>
      <c r="P56" s="141"/>
      <c r="Q56" s="141"/>
      <c r="R56" s="141"/>
      <c r="S56" s="141"/>
    </row>
    <row r="57" spans="1:19" ht="14.1" customHeight="1">
      <c r="A57" s="62">
        <v>50</v>
      </c>
      <c r="B57" s="63" t="s">
        <v>46</v>
      </c>
      <c r="C57" s="64">
        <v>719849</v>
      </c>
      <c r="D57" s="205">
        <v>696437</v>
      </c>
      <c r="E57" s="64">
        <v>385805</v>
      </c>
      <c r="F57" s="206">
        <v>400097.86</v>
      </c>
      <c r="G57" s="66">
        <f t="shared" si="2"/>
        <v>53.595267896461621</v>
      </c>
      <c r="H57" s="66">
        <f t="shared" si="3"/>
        <v>57.449253844927824</v>
      </c>
      <c r="I57" s="209">
        <f t="shared" si="4"/>
        <v>-3.2523487564753162</v>
      </c>
      <c r="J57" s="209">
        <f t="shared" si="5"/>
        <v>3.7046850092663357</v>
      </c>
      <c r="K57" s="207">
        <f>'CD Ratio_2'!C57+'CD Ratio_2'!D57+'CD Ratio_2'!E57</f>
        <v>696437</v>
      </c>
      <c r="L57" s="207">
        <f t="shared" si="7"/>
        <v>0</v>
      </c>
      <c r="M57" s="207">
        <f>'CD Ratio_2'!F57+'CD Ratio_2'!G57+'CD Ratio_2'!H57</f>
        <v>400097.86</v>
      </c>
      <c r="N57" s="207">
        <f t="shared" si="1"/>
        <v>0</v>
      </c>
      <c r="O57" s="141"/>
      <c r="P57" s="141"/>
      <c r="Q57" s="141"/>
      <c r="R57" s="141"/>
      <c r="S57" s="141"/>
    </row>
    <row r="58" spans="1:19" ht="14.1" customHeight="1">
      <c r="A58" s="62">
        <v>51</v>
      </c>
      <c r="B58" s="63" t="s">
        <v>228</v>
      </c>
      <c r="C58" s="82">
        <v>689121</v>
      </c>
      <c r="D58" s="205">
        <v>663482</v>
      </c>
      <c r="E58" s="82">
        <v>250413</v>
      </c>
      <c r="F58" s="206">
        <v>259614</v>
      </c>
      <c r="G58" s="66">
        <f t="shared" si="2"/>
        <v>36.338030621617975</v>
      </c>
      <c r="H58" s="66">
        <f t="shared" si="3"/>
        <v>39.129019325317039</v>
      </c>
      <c r="I58" s="209">
        <f t="shared" si="4"/>
        <v>-3.7205367417333095</v>
      </c>
      <c r="J58" s="209">
        <f t="shared" si="5"/>
        <v>3.6743300068287188</v>
      </c>
      <c r="K58" s="207">
        <f>'CD Ratio_2'!C58+'CD Ratio_2'!D58+'CD Ratio_2'!E58</f>
        <v>663482</v>
      </c>
      <c r="L58" s="207">
        <f t="shared" si="7"/>
        <v>0</v>
      </c>
      <c r="M58" s="207">
        <f>'CD Ratio_2'!F58+'CD Ratio_2'!G58+'CD Ratio_2'!H58</f>
        <v>259614</v>
      </c>
      <c r="N58" s="207">
        <f t="shared" si="1"/>
        <v>0</v>
      </c>
      <c r="O58" s="141"/>
      <c r="P58" s="141"/>
      <c r="Q58" s="141"/>
      <c r="R58" s="141"/>
      <c r="S58" s="141"/>
    </row>
    <row r="59" spans="1:19" ht="14.1" customHeight="1">
      <c r="A59" s="62">
        <v>52</v>
      </c>
      <c r="B59" s="63" t="s">
        <v>52</v>
      </c>
      <c r="C59" s="71">
        <v>616602</v>
      </c>
      <c r="D59" s="205">
        <v>594127.56000000006</v>
      </c>
      <c r="E59" s="71">
        <v>423208</v>
      </c>
      <c r="F59" s="206">
        <v>448702.19</v>
      </c>
      <c r="G59" s="66">
        <f t="shared" si="2"/>
        <v>68.635521779040616</v>
      </c>
      <c r="H59" s="66">
        <f t="shared" si="3"/>
        <v>75.522870879782104</v>
      </c>
      <c r="I59" s="209">
        <f t="shared" si="4"/>
        <v>-3.6448860042620597</v>
      </c>
      <c r="J59" s="209">
        <f t="shared" si="5"/>
        <v>6.0240330995633355</v>
      </c>
      <c r="K59" s="207">
        <f>'CD Ratio_2'!C59+'CD Ratio_2'!D59+'CD Ratio_2'!E59</f>
        <v>594127.55999999994</v>
      </c>
      <c r="L59" s="207">
        <f t="shared" si="7"/>
        <v>0</v>
      </c>
      <c r="M59" s="207">
        <f>'CD Ratio_2'!F59+'CD Ratio_2'!G59+'CD Ratio_2'!H59</f>
        <v>448702.18999999994</v>
      </c>
      <c r="N59" s="207">
        <f t="shared" si="1"/>
        <v>0</v>
      </c>
      <c r="O59" s="141"/>
      <c r="P59" s="141"/>
      <c r="Q59" s="141"/>
      <c r="R59" s="141"/>
      <c r="S59" s="141"/>
    </row>
    <row r="60" spans="1:19" ht="14.1" customHeight="1">
      <c r="A60" s="62"/>
      <c r="B60" s="74" t="s">
        <v>229</v>
      </c>
      <c r="C60" s="75">
        <f>SUM(C57:C59)</f>
        <v>2025572</v>
      </c>
      <c r="D60" s="75">
        <f t="shared" ref="D60:F60" si="9">SUM(D57:D59)</f>
        <v>1954046.56</v>
      </c>
      <c r="E60" s="75">
        <f t="shared" si="9"/>
        <v>1059426</v>
      </c>
      <c r="F60" s="75">
        <f t="shared" si="9"/>
        <v>1108414.05</v>
      </c>
      <c r="G60" s="76">
        <f t="shared" si="2"/>
        <v>52.302559474558301</v>
      </c>
      <c r="H60" s="76">
        <f t="shared" si="3"/>
        <v>56.724034764043694</v>
      </c>
      <c r="I60" s="209">
        <f t="shared" si="4"/>
        <v>-3.5311230605478325</v>
      </c>
      <c r="J60" s="209">
        <f t="shared" si="5"/>
        <v>4.6240181003675618</v>
      </c>
      <c r="K60" s="207">
        <f>'CD Ratio_2'!C60+'CD Ratio_2'!D60+'CD Ratio_2'!E60</f>
        <v>1954046.56</v>
      </c>
      <c r="L60" s="207">
        <f t="shared" si="7"/>
        <v>0</v>
      </c>
      <c r="M60" s="207">
        <f>'CD Ratio_2'!F60+'CD Ratio_2'!G60+'CD Ratio_2'!H60</f>
        <v>1108414.05</v>
      </c>
      <c r="N60" s="207">
        <f t="shared" si="1"/>
        <v>0</v>
      </c>
      <c r="O60" s="141"/>
      <c r="P60" s="141"/>
      <c r="Q60" s="141"/>
      <c r="R60" s="141"/>
      <c r="S60" s="141"/>
    </row>
    <row r="61" spans="1:19" ht="14.1" customHeight="1">
      <c r="A61" s="62">
        <v>53</v>
      </c>
      <c r="B61" s="63" t="s">
        <v>231</v>
      </c>
      <c r="C61" s="64">
        <v>2091180</v>
      </c>
      <c r="D61" s="205">
        <v>2168139</v>
      </c>
      <c r="E61" s="64">
        <v>2414164</v>
      </c>
      <c r="F61" s="206">
        <v>3171924</v>
      </c>
      <c r="G61" s="66">
        <f t="shared" si="2"/>
        <v>115.44505972704407</v>
      </c>
      <c r="H61" s="66">
        <f t="shared" si="3"/>
        <v>146.29707781650529</v>
      </c>
      <c r="I61" s="209">
        <f t="shared" si="4"/>
        <v>3.6801710039307949</v>
      </c>
      <c r="J61" s="209">
        <f t="shared" si="5"/>
        <v>31.388091281288265</v>
      </c>
      <c r="K61" s="207">
        <f>'CD Ratio_2'!C61+'CD Ratio_2'!D61+'CD Ratio_2'!E61</f>
        <v>2168139</v>
      </c>
      <c r="L61" s="207">
        <f t="shared" si="7"/>
        <v>0</v>
      </c>
      <c r="M61" s="207">
        <f>'CD Ratio_2'!F61+'CD Ratio_2'!G61+'CD Ratio_2'!H61</f>
        <v>3171924.3</v>
      </c>
      <c r="N61" s="207">
        <f t="shared" si="1"/>
        <v>-0.29999999981373549</v>
      </c>
      <c r="O61" s="141"/>
      <c r="P61" s="141"/>
      <c r="Q61" s="141"/>
      <c r="R61" s="141"/>
      <c r="S61" s="141"/>
    </row>
    <row r="62" spans="1:19" ht="14.1" customHeight="1">
      <c r="A62" s="212"/>
      <c r="B62" s="213" t="s">
        <v>236</v>
      </c>
      <c r="C62" s="214">
        <f>C61</f>
        <v>2091180</v>
      </c>
      <c r="D62" s="214">
        <f t="shared" ref="D62:F62" si="10">D61</f>
        <v>2168139</v>
      </c>
      <c r="E62" s="214">
        <f t="shared" si="10"/>
        <v>2414164</v>
      </c>
      <c r="F62" s="214">
        <f t="shared" si="10"/>
        <v>3171924</v>
      </c>
      <c r="G62" s="215">
        <f t="shared" si="2"/>
        <v>115.44505972704407</v>
      </c>
      <c r="H62" s="215">
        <f t="shared" si="3"/>
        <v>146.29707781650529</v>
      </c>
      <c r="I62" s="209">
        <f t="shared" si="4"/>
        <v>3.6801710039307949</v>
      </c>
      <c r="J62" s="209">
        <f t="shared" si="5"/>
        <v>31.388091281288265</v>
      </c>
      <c r="K62" s="207">
        <f>'CD Ratio_2'!C62+'CD Ratio_2'!D62+'CD Ratio_2'!E62</f>
        <v>2168139</v>
      </c>
      <c r="L62" s="207">
        <f t="shared" si="7"/>
        <v>0</v>
      </c>
      <c r="M62" s="207">
        <f>'CD Ratio_2'!F62+'CD Ratio_2'!G62+'CD Ratio_2'!H62</f>
        <v>3171924.3</v>
      </c>
      <c r="N62" s="207">
        <f t="shared" si="1"/>
        <v>-0.29999999981373549</v>
      </c>
      <c r="O62" s="141"/>
      <c r="P62" s="141"/>
      <c r="Q62" s="141"/>
      <c r="R62" s="141"/>
      <c r="S62" s="141"/>
    </row>
    <row r="63" spans="1:19" ht="14.1" customHeight="1">
      <c r="A63" s="62"/>
      <c r="B63" s="74" t="s">
        <v>237</v>
      </c>
      <c r="C63" s="75">
        <f>C62+C60+C56+C33</f>
        <v>33799460.039999999</v>
      </c>
      <c r="D63" s="75">
        <f t="shared" ref="D63:F63" si="11">D62+D60+D56+D33</f>
        <v>33694970.329999998</v>
      </c>
      <c r="E63" s="75">
        <f t="shared" si="11"/>
        <v>22192162.659999996</v>
      </c>
      <c r="F63" s="75">
        <f t="shared" si="11"/>
        <v>24006362.350000001</v>
      </c>
      <c r="G63" s="76">
        <f t="shared" si="2"/>
        <v>65.658334877943801</v>
      </c>
      <c r="H63" s="76">
        <f t="shared" si="3"/>
        <v>71.246129956155983</v>
      </c>
      <c r="I63" s="209">
        <f t="shared" si="4"/>
        <v>-0.3091460925007159</v>
      </c>
      <c r="J63" s="209">
        <f t="shared" si="5"/>
        <v>8.174956707892143</v>
      </c>
      <c r="K63" s="207">
        <f>'CD Ratio_2'!C63+'CD Ratio_2'!D63+'CD Ratio_2'!E63</f>
        <v>33692372.020000003</v>
      </c>
      <c r="L63" s="207">
        <f t="shared" si="7"/>
        <v>2598.3099999949336</v>
      </c>
      <c r="M63" s="207">
        <f>'CD Ratio_2'!F63+'CD Ratio_2'!G63+'CD Ratio_2'!H63</f>
        <v>24006362.789999999</v>
      </c>
      <c r="N63" s="207">
        <f t="shared" si="1"/>
        <v>-0.43999999761581421</v>
      </c>
      <c r="O63" s="141"/>
      <c r="P63" s="141"/>
      <c r="Q63" s="141"/>
      <c r="R63" s="141"/>
      <c r="S63" s="141"/>
    </row>
    <row r="64" spans="1:19">
      <c r="G64" s="344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</row>
    <row r="65" spans="1:19" ht="15" customHeight="1">
      <c r="A65" s="582" t="s">
        <v>1208</v>
      </c>
      <c r="B65" s="582"/>
      <c r="C65" s="582"/>
      <c r="D65" s="582"/>
      <c r="E65" s="582"/>
      <c r="F65" s="582"/>
      <c r="G65" s="582"/>
      <c r="H65" s="582"/>
      <c r="I65" s="204"/>
      <c r="J65" s="141"/>
      <c r="K65" s="141"/>
      <c r="L65" s="141"/>
      <c r="M65" s="141"/>
      <c r="N65" s="141"/>
      <c r="O65" s="141"/>
      <c r="P65" s="141"/>
      <c r="Q65" s="141"/>
      <c r="R65" s="141"/>
      <c r="S65" s="141"/>
    </row>
    <row r="66" spans="1:19">
      <c r="G66" s="141" t="s">
        <v>1209</v>
      </c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</row>
    <row r="67" spans="1:19">
      <c r="F67" s="536"/>
    </row>
    <row r="68" spans="1:19">
      <c r="F68" s="537"/>
    </row>
    <row r="69" spans="1:19">
      <c r="F69" s="537"/>
    </row>
  </sheetData>
  <sheetProtection formatCells="0" formatColumns="0" formatRows="0" insertColumns="0" insertRows="0" insertHyperlinks="0" deleteColumns="0" deleteRows="0" selectLockedCells="1" sort="0" autoFilter="0" pivotTables="0"/>
  <autoFilter ref="C5:N63"/>
  <mergeCells count="10">
    <mergeCell ref="A65:H65"/>
    <mergeCell ref="K4:N4"/>
    <mergeCell ref="A1:H1"/>
    <mergeCell ref="G3:H3"/>
    <mergeCell ref="A2:H2"/>
    <mergeCell ref="A4:A5"/>
    <mergeCell ref="B4:B5"/>
    <mergeCell ref="C4:D4"/>
    <mergeCell ref="E4:F4"/>
    <mergeCell ref="G4:H4"/>
  </mergeCells>
  <phoneticPr fontId="9" type="noConversion"/>
  <conditionalFormatting sqref="L1:L3 L5:L1048576">
    <cfRule type="cellIs" dxfId="209" priority="2" operator="greaterThan">
      <formula>0</formula>
    </cfRule>
    <cfRule type="cellIs" dxfId="208" priority="3" operator="greaterThan">
      <formula>0</formula>
    </cfRule>
  </conditionalFormatting>
  <conditionalFormatting sqref="N1:N3 N5:N1048576">
    <cfRule type="cellIs" dxfId="207" priority="1" operator="greaterThan">
      <formula>0</formula>
    </cfRule>
  </conditionalFormatting>
  <pageMargins left="1" right="0.25" top="0.5" bottom="0.5" header="0.3" footer="0.3"/>
  <pageSetup scale="7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17" sqref="K17"/>
    </sheetView>
  </sheetViews>
  <sheetFormatPr defaultRowHeight="12.75"/>
  <cols>
    <col min="1" max="1" width="5.140625" style="511" customWidth="1"/>
    <col min="2" max="2" width="13.7109375" style="512" customWidth="1"/>
    <col min="3" max="3" width="8.5703125" style="512" customWidth="1"/>
    <col min="4" max="4" width="10.28515625" style="512" customWidth="1"/>
    <col min="5" max="5" width="8.5703125" style="512" customWidth="1"/>
    <col min="6" max="6" width="10.28515625" style="512" customWidth="1"/>
    <col min="7" max="7" width="8.5703125" style="512" customWidth="1"/>
    <col min="8" max="8" width="10.28515625" style="512" customWidth="1"/>
    <col min="9" max="9" width="6.85546875" style="512" customWidth="1"/>
    <col min="10" max="10" width="10.28515625" style="512" customWidth="1"/>
    <col min="11" max="11" width="8.5703125" style="512" customWidth="1"/>
    <col min="12" max="12" width="10.28515625" style="512" customWidth="1"/>
    <col min="13" max="13" width="8.5703125" style="512" customWidth="1"/>
    <col min="14" max="14" width="10.28515625" style="512" customWidth="1"/>
    <col min="15" max="15" width="8.5703125" style="512" customWidth="1"/>
    <col min="16" max="16" width="10.28515625" style="512" customWidth="1"/>
    <col min="17" max="17" width="8.5703125" style="512" customWidth="1"/>
    <col min="18" max="18" width="10.28515625" style="512" customWidth="1"/>
    <col min="19" max="255" width="9.140625" style="512"/>
    <col min="256" max="256" width="5.140625" style="512" customWidth="1"/>
    <col min="257" max="257" width="13.7109375" style="512" customWidth="1"/>
    <col min="258" max="258" width="8.5703125" style="512" customWidth="1"/>
    <col min="259" max="259" width="10.28515625" style="512" customWidth="1"/>
    <col min="260" max="260" width="8.5703125" style="512" customWidth="1"/>
    <col min="261" max="261" width="10.28515625" style="512" customWidth="1"/>
    <col min="262" max="262" width="8.5703125" style="512" customWidth="1"/>
    <col min="263" max="263" width="10.28515625" style="512" customWidth="1"/>
    <col min="264" max="264" width="6.85546875" style="512" customWidth="1"/>
    <col min="265" max="265" width="10.28515625" style="512" customWidth="1"/>
    <col min="266" max="266" width="8.5703125" style="512" customWidth="1"/>
    <col min="267" max="267" width="10.28515625" style="512" customWidth="1"/>
    <col min="268" max="268" width="8.5703125" style="512" customWidth="1"/>
    <col min="269" max="269" width="10.28515625" style="512" customWidth="1"/>
    <col min="270" max="270" width="8.5703125" style="512" customWidth="1"/>
    <col min="271" max="271" width="10.28515625" style="512" customWidth="1"/>
    <col min="272" max="272" width="8.5703125" style="512" customWidth="1"/>
    <col min="273" max="273" width="10.28515625" style="512" customWidth="1"/>
    <col min="274" max="274" width="1.7109375" style="512" customWidth="1"/>
    <col min="275" max="511" width="9.140625" style="512"/>
    <col min="512" max="512" width="5.140625" style="512" customWidth="1"/>
    <col min="513" max="513" width="13.7109375" style="512" customWidth="1"/>
    <col min="514" max="514" width="8.5703125" style="512" customWidth="1"/>
    <col min="515" max="515" width="10.28515625" style="512" customWidth="1"/>
    <col min="516" max="516" width="8.5703125" style="512" customWidth="1"/>
    <col min="517" max="517" width="10.28515625" style="512" customWidth="1"/>
    <col min="518" max="518" width="8.5703125" style="512" customWidth="1"/>
    <col min="519" max="519" width="10.28515625" style="512" customWidth="1"/>
    <col min="520" max="520" width="6.85546875" style="512" customWidth="1"/>
    <col min="521" max="521" width="10.28515625" style="512" customWidth="1"/>
    <col min="522" max="522" width="8.5703125" style="512" customWidth="1"/>
    <col min="523" max="523" width="10.28515625" style="512" customWidth="1"/>
    <col min="524" max="524" width="8.5703125" style="512" customWidth="1"/>
    <col min="525" max="525" width="10.28515625" style="512" customWidth="1"/>
    <col min="526" max="526" width="8.5703125" style="512" customWidth="1"/>
    <col min="527" max="527" width="10.28515625" style="512" customWidth="1"/>
    <col min="528" max="528" width="8.5703125" style="512" customWidth="1"/>
    <col min="529" max="529" width="10.28515625" style="512" customWidth="1"/>
    <col min="530" max="530" width="1.7109375" style="512" customWidth="1"/>
    <col min="531" max="767" width="9.140625" style="512"/>
    <col min="768" max="768" width="5.140625" style="512" customWidth="1"/>
    <col min="769" max="769" width="13.7109375" style="512" customWidth="1"/>
    <col min="770" max="770" width="8.5703125" style="512" customWidth="1"/>
    <col min="771" max="771" width="10.28515625" style="512" customWidth="1"/>
    <col min="772" max="772" width="8.5703125" style="512" customWidth="1"/>
    <col min="773" max="773" width="10.28515625" style="512" customWidth="1"/>
    <col min="774" max="774" width="8.5703125" style="512" customWidth="1"/>
    <col min="775" max="775" width="10.28515625" style="512" customWidth="1"/>
    <col min="776" max="776" width="6.85546875" style="512" customWidth="1"/>
    <col min="777" max="777" width="10.28515625" style="512" customWidth="1"/>
    <col min="778" max="778" width="8.5703125" style="512" customWidth="1"/>
    <col min="779" max="779" width="10.28515625" style="512" customWidth="1"/>
    <col min="780" max="780" width="8.5703125" style="512" customWidth="1"/>
    <col min="781" max="781" width="10.28515625" style="512" customWidth="1"/>
    <col min="782" max="782" width="8.5703125" style="512" customWidth="1"/>
    <col min="783" max="783" width="10.28515625" style="512" customWidth="1"/>
    <col min="784" max="784" width="8.5703125" style="512" customWidth="1"/>
    <col min="785" max="785" width="10.28515625" style="512" customWidth="1"/>
    <col min="786" max="786" width="1.7109375" style="512" customWidth="1"/>
    <col min="787" max="1023" width="9.140625" style="512"/>
    <col min="1024" max="1024" width="5.140625" style="512" customWidth="1"/>
    <col min="1025" max="1025" width="13.7109375" style="512" customWidth="1"/>
    <col min="1026" max="1026" width="8.5703125" style="512" customWidth="1"/>
    <col min="1027" max="1027" width="10.28515625" style="512" customWidth="1"/>
    <col min="1028" max="1028" width="8.5703125" style="512" customWidth="1"/>
    <col min="1029" max="1029" width="10.28515625" style="512" customWidth="1"/>
    <col min="1030" max="1030" width="8.5703125" style="512" customWidth="1"/>
    <col min="1031" max="1031" width="10.28515625" style="512" customWidth="1"/>
    <col min="1032" max="1032" width="6.85546875" style="512" customWidth="1"/>
    <col min="1033" max="1033" width="10.28515625" style="512" customWidth="1"/>
    <col min="1034" max="1034" width="8.5703125" style="512" customWidth="1"/>
    <col min="1035" max="1035" width="10.28515625" style="512" customWidth="1"/>
    <col min="1036" max="1036" width="8.5703125" style="512" customWidth="1"/>
    <col min="1037" max="1037" width="10.28515625" style="512" customWidth="1"/>
    <col min="1038" max="1038" width="8.5703125" style="512" customWidth="1"/>
    <col min="1039" max="1039" width="10.28515625" style="512" customWidth="1"/>
    <col min="1040" max="1040" width="8.5703125" style="512" customWidth="1"/>
    <col min="1041" max="1041" width="10.28515625" style="512" customWidth="1"/>
    <col min="1042" max="1042" width="1.7109375" style="512" customWidth="1"/>
    <col min="1043" max="1279" width="9.140625" style="512"/>
    <col min="1280" max="1280" width="5.140625" style="512" customWidth="1"/>
    <col min="1281" max="1281" width="13.7109375" style="512" customWidth="1"/>
    <col min="1282" max="1282" width="8.5703125" style="512" customWidth="1"/>
    <col min="1283" max="1283" width="10.28515625" style="512" customWidth="1"/>
    <col min="1284" max="1284" width="8.5703125" style="512" customWidth="1"/>
    <col min="1285" max="1285" width="10.28515625" style="512" customWidth="1"/>
    <col min="1286" max="1286" width="8.5703125" style="512" customWidth="1"/>
    <col min="1287" max="1287" width="10.28515625" style="512" customWidth="1"/>
    <col min="1288" max="1288" width="6.85546875" style="512" customWidth="1"/>
    <col min="1289" max="1289" width="10.28515625" style="512" customWidth="1"/>
    <col min="1290" max="1290" width="8.5703125" style="512" customWidth="1"/>
    <col min="1291" max="1291" width="10.28515625" style="512" customWidth="1"/>
    <col min="1292" max="1292" width="8.5703125" style="512" customWidth="1"/>
    <col min="1293" max="1293" width="10.28515625" style="512" customWidth="1"/>
    <col min="1294" max="1294" width="8.5703125" style="512" customWidth="1"/>
    <col min="1295" max="1295" width="10.28515625" style="512" customWidth="1"/>
    <col min="1296" max="1296" width="8.5703125" style="512" customWidth="1"/>
    <col min="1297" max="1297" width="10.28515625" style="512" customWidth="1"/>
    <col min="1298" max="1298" width="1.7109375" style="512" customWidth="1"/>
    <col min="1299" max="1535" width="9.140625" style="512"/>
    <col min="1536" max="1536" width="5.140625" style="512" customWidth="1"/>
    <col min="1537" max="1537" width="13.7109375" style="512" customWidth="1"/>
    <col min="1538" max="1538" width="8.5703125" style="512" customWidth="1"/>
    <col min="1539" max="1539" width="10.28515625" style="512" customWidth="1"/>
    <col min="1540" max="1540" width="8.5703125" style="512" customWidth="1"/>
    <col min="1541" max="1541" width="10.28515625" style="512" customWidth="1"/>
    <col min="1542" max="1542" width="8.5703125" style="512" customWidth="1"/>
    <col min="1543" max="1543" width="10.28515625" style="512" customWidth="1"/>
    <col min="1544" max="1544" width="6.85546875" style="512" customWidth="1"/>
    <col min="1545" max="1545" width="10.28515625" style="512" customWidth="1"/>
    <col min="1546" max="1546" width="8.5703125" style="512" customWidth="1"/>
    <col min="1547" max="1547" width="10.28515625" style="512" customWidth="1"/>
    <col min="1548" max="1548" width="8.5703125" style="512" customWidth="1"/>
    <col min="1549" max="1549" width="10.28515625" style="512" customWidth="1"/>
    <col min="1550" max="1550" width="8.5703125" style="512" customWidth="1"/>
    <col min="1551" max="1551" width="10.28515625" style="512" customWidth="1"/>
    <col min="1552" max="1552" width="8.5703125" style="512" customWidth="1"/>
    <col min="1553" max="1553" width="10.28515625" style="512" customWidth="1"/>
    <col min="1554" max="1554" width="1.7109375" style="512" customWidth="1"/>
    <col min="1555" max="1791" width="9.140625" style="512"/>
    <col min="1792" max="1792" width="5.140625" style="512" customWidth="1"/>
    <col min="1793" max="1793" width="13.7109375" style="512" customWidth="1"/>
    <col min="1794" max="1794" width="8.5703125" style="512" customWidth="1"/>
    <col min="1795" max="1795" width="10.28515625" style="512" customWidth="1"/>
    <col min="1796" max="1796" width="8.5703125" style="512" customWidth="1"/>
    <col min="1797" max="1797" width="10.28515625" style="512" customWidth="1"/>
    <col min="1798" max="1798" width="8.5703125" style="512" customWidth="1"/>
    <col min="1799" max="1799" width="10.28515625" style="512" customWidth="1"/>
    <col min="1800" max="1800" width="6.85546875" style="512" customWidth="1"/>
    <col min="1801" max="1801" width="10.28515625" style="512" customWidth="1"/>
    <col min="1802" max="1802" width="8.5703125" style="512" customWidth="1"/>
    <col min="1803" max="1803" width="10.28515625" style="512" customWidth="1"/>
    <col min="1804" max="1804" width="8.5703125" style="512" customWidth="1"/>
    <col min="1805" max="1805" width="10.28515625" style="512" customWidth="1"/>
    <col min="1806" max="1806" width="8.5703125" style="512" customWidth="1"/>
    <col min="1807" max="1807" width="10.28515625" style="512" customWidth="1"/>
    <col min="1808" max="1808" width="8.5703125" style="512" customWidth="1"/>
    <col min="1809" max="1809" width="10.28515625" style="512" customWidth="1"/>
    <col min="1810" max="1810" width="1.7109375" style="512" customWidth="1"/>
    <col min="1811" max="2047" width="9.140625" style="512"/>
    <col min="2048" max="2048" width="5.140625" style="512" customWidth="1"/>
    <col min="2049" max="2049" width="13.7109375" style="512" customWidth="1"/>
    <col min="2050" max="2050" width="8.5703125" style="512" customWidth="1"/>
    <col min="2051" max="2051" width="10.28515625" style="512" customWidth="1"/>
    <col min="2052" max="2052" width="8.5703125" style="512" customWidth="1"/>
    <col min="2053" max="2053" width="10.28515625" style="512" customWidth="1"/>
    <col min="2054" max="2054" width="8.5703125" style="512" customWidth="1"/>
    <col min="2055" max="2055" width="10.28515625" style="512" customWidth="1"/>
    <col min="2056" max="2056" width="6.85546875" style="512" customWidth="1"/>
    <col min="2057" max="2057" width="10.28515625" style="512" customWidth="1"/>
    <col min="2058" max="2058" width="8.5703125" style="512" customWidth="1"/>
    <col min="2059" max="2059" width="10.28515625" style="512" customWidth="1"/>
    <col min="2060" max="2060" width="8.5703125" style="512" customWidth="1"/>
    <col min="2061" max="2061" width="10.28515625" style="512" customWidth="1"/>
    <col min="2062" max="2062" width="8.5703125" style="512" customWidth="1"/>
    <col min="2063" max="2063" width="10.28515625" style="512" customWidth="1"/>
    <col min="2064" max="2064" width="8.5703125" style="512" customWidth="1"/>
    <col min="2065" max="2065" width="10.28515625" style="512" customWidth="1"/>
    <col min="2066" max="2066" width="1.7109375" style="512" customWidth="1"/>
    <col min="2067" max="2303" width="9.140625" style="512"/>
    <col min="2304" max="2304" width="5.140625" style="512" customWidth="1"/>
    <col min="2305" max="2305" width="13.7109375" style="512" customWidth="1"/>
    <col min="2306" max="2306" width="8.5703125" style="512" customWidth="1"/>
    <col min="2307" max="2307" width="10.28515625" style="512" customWidth="1"/>
    <col min="2308" max="2308" width="8.5703125" style="512" customWidth="1"/>
    <col min="2309" max="2309" width="10.28515625" style="512" customWidth="1"/>
    <col min="2310" max="2310" width="8.5703125" style="512" customWidth="1"/>
    <col min="2311" max="2311" width="10.28515625" style="512" customWidth="1"/>
    <col min="2312" max="2312" width="6.85546875" style="512" customWidth="1"/>
    <col min="2313" max="2313" width="10.28515625" style="512" customWidth="1"/>
    <col min="2314" max="2314" width="8.5703125" style="512" customWidth="1"/>
    <col min="2315" max="2315" width="10.28515625" style="512" customWidth="1"/>
    <col min="2316" max="2316" width="8.5703125" style="512" customWidth="1"/>
    <col min="2317" max="2317" width="10.28515625" style="512" customWidth="1"/>
    <col min="2318" max="2318" width="8.5703125" style="512" customWidth="1"/>
    <col min="2319" max="2319" width="10.28515625" style="512" customWidth="1"/>
    <col min="2320" max="2320" width="8.5703125" style="512" customWidth="1"/>
    <col min="2321" max="2321" width="10.28515625" style="512" customWidth="1"/>
    <col min="2322" max="2322" width="1.7109375" style="512" customWidth="1"/>
    <col min="2323" max="2559" width="9.140625" style="512"/>
    <col min="2560" max="2560" width="5.140625" style="512" customWidth="1"/>
    <col min="2561" max="2561" width="13.7109375" style="512" customWidth="1"/>
    <col min="2562" max="2562" width="8.5703125" style="512" customWidth="1"/>
    <col min="2563" max="2563" width="10.28515625" style="512" customWidth="1"/>
    <col min="2564" max="2564" width="8.5703125" style="512" customWidth="1"/>
    <col min="2565" max="2565" width="10.28515625" style="512" customWidth="1"/>
    <col min="2566" max="2566" width="8.5703125" style="512" customWidth="1"/>
    <col min="2567" max="2567" width="10.28515625" style="512" customWidth="1"/>
    <col min="2568" max="2568" width="6.85546875" style="512" customWidth="1"/>
    <col min="2569" max="2569" width="10.28515625" style="512" customWidth="1"/>
    <col min="2570" max="2570" width="8.5703125" style="512" customWidth="1"/>
    <col min="2571" max="2571" width="10.28515625" style="512" customWidth="1"/>
    <col min="2572" max="2572" width="8.5703125" style="512" customWidth="1"/>
    <col min="2573" max="2573" width="10.28515625" style="512" customWidth="1"/>
    <col min="2574" max="2574" width="8.5703125" style="512" customWidth="1"/>
    <col min="2575" max="2575" width="10.28515625" style="512" customWidth="1"/>
    <col min="2576" max="2576" width="8.5703125" style="512" customWidth="1"/>
    <col min="2577" max="2577" width="10.28515625" style="512" customWidth="1"/>
    <col min="2578" max="2578" width="1.7109375" style="512" customWidth="1"/>
    <col min="2579" max="2815" width="9.140625" style="512"/>
    <col min="2816" max="2816" width="5.140625" style="512" customWidth="1"/>
    <col min="2817" max="2817" width="13.7109375" style="512" customWidth="1"/>
    <col min="2818" max="2818" width="8.5703125" style="512" customWidth="1"/>
    <col min="2819" max="2819" width="10.28515625" style="512" customWidth="1"/>
    <col min="2820" max="2820" width="8.5703125" style="512" customWidth="1"/>
    <col min="2821" max="2821" width="10.28515625" style="512" customWidth="1"/>
    <col min="2822" max="2822" width="8.5703125" style="512" customWidth="1"/>
    <col min="2823" max="2823" width="10.28515625" style="512" customWidth="1"/>
    <col min="2824" max="2824" width="6.85546875" style="512" customWidth="1"/>
    <col min="2825" max="2825" width="10.28515625" style="512" customWidth="1"/>
    <col min="2826" max="2826" width="8.5703125" style="512" customWidth="1"/>
    <col min="2827" max="2827" width="10.28515625" style="512" customWidth="1"/>
    <col min="2828" max="2828" width="8.5703125" style="512" customWidth="1"/>
    <col min="2829" max="2829" width="10.28515625" style="512" customWidth="1"/>
    <col min="2830" max="2830" width="8.5703125" style="512" customWidth="1"/>
    <col min="2831" max="2831" width="10.28515625" style="512" customWidth="1"/>
    <col min="2832" max="2832" width="8.5703125" style="512" customWidth="1"/>
    <col min="2833" max="2833" width="10.28515625" style="512" customWidth="1"/>
    <col min="2834" max="2834" width="1.7109375" style="512" customWidth="1"/>
    <col min="2835" max="3071" width="9.140625" style="512"/>
    <col min="3072" max="3072" width="5.140625" style="512" customWidth="1"/>
    <col min="3073" max="3073" width="13.7109375" style="512" customWidth="1"/>
    <col min="3074" max="3074" width="8.5703125" style="512" customWidth="1"/>
    <col min="3075" max="3075" width="10.28515625" style="512" customWidth="1"/>
    <col min="3076" max="3076" width="8.5703125" style="512" customWidth="1"/>
    <col min="3077" max="3077" width="10.28515625" style="512" customWidth="1"/>
    <col min="3078" max="3078" width="8.5703125" style="512" customWidth="1"/>
    <col min="3079" max="3079" width="10.28515625" style="512" customWidth="1"/>
    <col min="3080" max="3080" width="6.85546875" style="512" customWidth="1"/>
    <col min="3081" max="3081" width="10.28515625" style="512" customWidth="1"/>
    <col min="3082" max="3082" width="8.5703125" style="512" customWidth="1"/>
    <col min="3083" max="3083" width="10.28515625" style="512" customWidth="1"/>
    <col min="3084" max="3084" width="8.5703125" style="512" customWidth="1"/>
    <col min="3085" max="3085" width="10.28515625" style="512" customWidth="1"/>
    <col min="3086" max="3086" width="8.5703125" style="512" customWidth="1"/>
    <col min="3087" max="3087" width="10.28515625" style="512" customWidth="1"/>
    <col min="3088" max="3088" width="8.5703125" style="512" customWidth="1"/>
    <col min="3089" max="3089" width="10.28515625" style="512" customWidth="1"/>
    <col min="3090" max="3090" width="1.7109375" style="512" customWidth="1"/>
    <col min="3091" max="3327" width="9.140625" style="512"/>
    <col min="3328" max="3328" width="5.140625" style="512" customWidth="1"/>
    <col min="3329" max="3329" width="13.7109375" style="512" customWidth="1"/>
    <col min="3330" max="3330" width="8.5703125" style="512" customWidth="1"/>
    <col min="3331" max="3331" width="10.28515625" style="512" customWidth="1"/>
    <col min="3332" max="3332" width="8.5703125" style="512" customWidth="1"/>
    <col min="3333" max="3333" width="10.28515625" style="512" customWidth="1"/>
    <col min="3334" max="3334" width="8.5703125" style="512" customWidth="1"/>
    <col min="3335" max="3335" width="10.28515625" style="512" customWidth="1"/>
    <col min="3336" max="3336" width="6.85546875" style="512" customWidth="1"/>
    <col min="3337" max="3337" width="10.28515625" style="512" customWidth="1"/>
    <col min="3338" max="3338" width="8.5703125" style="512" customWidth="1"/>
    <col min="3339" max="3339" width="10.28515625" style="512" customWidth="1"/>
    <col min="3340" max="3340" width="8.5703125" style="512" customWidth="1"/>
    <col min="3341" max="3341" width="10.28515625" style="512" customWidth="1"/>
    <col min="3342" max="3342" width="8.5703125" style="512" customWidth="1"/>
    <col min="3343" max="3343" width="10.28515625" style="512" customWidth="1"/>
    <col min="3344" max="3344" width="8.5703125" style="512" customWidth="1"/>
    <col min="3345" max="3345" width="10.28515625" style="512" customWidth="1"/>
    <col min="3346" max="3346" width="1.7109375" style="512" customWidth="1"/>
    <col min="3347" max="3583" width="9.140625" style="512"/>
    <col min="3584" max="3584" width="5.140625" style="512" customWidth="1"/>
    <col min="3585" max="3585" width="13.7109375" style="512" customWidth="1"/>
    <col min="3586" max="3586" width="8.5703125" style="512" customWidth="1"/>
    <col min="3587" max="3587" width="10.28515625" style="512" customWidth="1"/>
    <col min="3588" max="3588" width="8.5703125" style="512" customWidth="1"/>
    <col min="3589" max="3589" width="10.28515625" style="512" customWidth="1"/>
    <col min="3590" max="3590" width="8.5703125" style="512" customWidth="1"/>
    <col min="3591" max="3591" width="10.28515625" style="512" customWidth="1"/>
    <col min="3592" max="3592" width="6.85546875" style="512" customWidth="1"/>
    <col min="3593" max="3593" width="10.28515625" style="512" customWidth="1"/>
    <col min="3594" max="3594" width="8.5703125" style="512" customWidth="1"/>
    <col min="3595" max="3595" width="10.28515625" style="512" customWidth="1"/>
    <col min="3596" max="3596" width="8.5703125" style="512" customWidth="1"/>
    <col min="3597" max="3597" width="10.28515625" style="512" customWidth="1"/>
    <col min="3598" max="3598" width="8.5703125" style="512" customWidth="1"/>
    <col min="3599" max="3599" width="10.28515625" style="512" customWidth="1"/>
    <col min="3600" max="3600" width="8.5703125" style="512" customWidth="1"/>
    <col min="3601" max="3601" width="10.28515625" style="512" customWidth="1"/>
    <col min="3602" max="3602" width="1.7109375" style="512" customWidth="1"/>
    <col min="3603" max="3839" width="9.140625" style="512"/>
    <col min="3840" max="3840" width="5.140625" style="512" customWidth="1"/>
    <col min="3841" max="3841" width="13.7109375" style="512" customWidth="1"/>
    <col min="3842" max="3842" width="8.5703125" style="512" customWidth="1"/>
    <col min="3843" max="3843" width="10.28515625" style="512" customWidth="1"/>
    <col min="3844" max="3844" width="8.5703125" style="512" customWidth="1"/>
    <col min="3845" max="3845" width="10.28515625" style="512" customWidth="1"/>
    <col min="3846" max="3846" width="8.5703125" style="512" customWidth="1"/>
    <col min="3847" max="3847" width="10.28515625" style="512" customWidth="1"/>
    <col min="3848" max="3848" width="6.85546875" style="512" customWidth="1"/>
    <col min="3849" max="3849" width="10.28515625" style="512" customWidth="1"/>
    <col min="3850" max="3850" width="8.5703125" style="512" customWidth="1"/>
    <col min="3851" max="3851" width="10.28515625" style="512" customWidth="1"/>
    <col min="3852" max="3852" width="8.5703125" style="512" customWidth="1"/>
    <col min="3853" max="3853" width="10.28515625" style="512" customWidth="1"/>
    <col min="3854" max="3854" width="8.5703125" style="512" customWidth="1"/>
    <col min="3855" max="3855" width="10.28515625" style="512" customWidth="1"/>
    <col min="3856" max="3856" width="8.5703125" style="512" customWidth="1"/>
    <col min="3857" max="3857" width="10.28515625" style="512" customWidth="1"/>
    <col min="3858" max="3858" width="1.7109375" style="512" customWidth="1"/>
    <col min="3859" max="4095" width="9.140625" style="512"/>
    <col min="4096" max="4096" width="5.140625" style="512" customWidth="1"/>
    <col min="4097" max="4097" width="13.7109375" style="512" customWidth="1"/>
    <col min="4098" max="4098" width="8.5703125" style="512" customWidth="1"/>
    <col min="4099" max="4099" width="10.28515625" style="512" customWidth="1"/>
    <col min="4100" max="4100" width="8.5703125" style="512" customWidth="1"/>
    <col min="4101" max="4101" width="10.28515625" style="512" customWidth="1"/>
    <col min="4102" max="4102" width="8.5703125" style="512" customWidth="1"/>
    <col min="4103" max="4103" width="10.28515625" style="512" customWidth="1"/>
    <col min="4104" max="4104" width="6.85546875" style="512" customWidth="1"/>
    <col min="4105" max="4105" width="10.28515625" style="512" customWidth="1"/>
    <col min="4106" max="4106" width="8.5703125" style="512" customWidth="1"/>
    <col min="4107" max="4107" width="10.28515625" style="512" customWidth="1"/>
    <col min="4108" max="4108" width="8.5703125" style="512" customWidth="1"/>
    <col min="4109" max="4109" width="10.28515625" style="512" customWidth="1"/>
    <col min="4110" max="4110" width="8.5703125" style="512" customWidth="1"/>
    <col min="4111" max="4111" width="10.28515625" style="512" customWidth="1"/>
    <col min="4112" max="4112" width="8.5703125" style="512" customWidth="1"/>
    <col min="4113" max="4113" width="10.28515625" style="512" customWidth="1"/>
    <col min="4114" max="4114" width="1.7109375" style="512" customWidth="1"/>
    <col min="4115" max="4351" width="9.140625" style="512"/>
    <col min="4352" max="4352" width="5.140625" style="512" customWidth="1"/>
    <col min="4353" max="4353" width="13.7109375" style="512" customWidth="1"/>
    <col min="4354" max="4354" width="8.5703125" style="512" customWidth="1"/>
    <col min="4355" max="4355" width="10.28515625" style="512" customWidth="1"/>
    <col min="4356" max="4356" width="8.5703125" style="512" customWidth="1"/>
    <col min="4357" max="4357" width="10.28515625" style="512" customWidth="1"/>
    <col min="4358" max="4358" width="8.5703125" style="512" customWidth="1"/>
    <col min="4359" max="4359" width="10.28515625" style="512" customWidth="1"/>
    <col min="4360" max="4360" width="6.85546875" style="512" customWidth="1"/>
    <col min="4361" max="4361" width="10.28515625" style="512" customWidth="1"/>
    <col min="4362" max="4362" width="8.5703125" style="512" customWidth="1"/>
    <col min="4363" max="4363" width="10.28515625" style="512" customWidth="1"/>
    <col min="4364" max="4364" width="8.5703125" style="512" customWidth="1"/>
    <col min="4365" max="4365" width="10.28515625" style="512" customWidth="1"/>
    <col min="4366" max="4366" width="8.5703125" style="512" customWidth="1"/>
    <col min="4367" max="4367" width="10.28515625" style="512" customWidth="1"/>
    <col min="4368" max="4368" width="8.5703125" style="512" customWidth="1"/>
    <col min="4369" max="4369" width="10.28515625" style="512" customWidth="1"/>
    <col min="4370" max="4370" width="1.7109375" style="512" customWidth="1"/>
    <col min="4371" max="4607" width="9.140625" style="512"/>
    <col min="4608" max="4608" width="5.140625" style="512" customWidth="1"/>
    <col min="4609" max="4609" width="13.7109375" style="512" customWidth="1"/>
    <col min="4610" max="4610" width="8.5703125" style="512" customWidth="1"/>
    <col min="4611" max="4611" width="10.28515625" style="512" customWidth="1"/>
    <col min="4612" max="4612" width="8.5703125" style="512" customWidth="1"/>
    <col min="4613" max="4613" width="10.28515625" style="512" customWidth="1"/>
    <col min="4614" max="4614" width="8.5703125" style="512" customWidth="1"/>
    <col min="4615" max="4615" width="10.28515625" style="512" customWidth="1"/>
    <col min="4616" max="4616" width="6.85546875" style="512" customWidth="1"/>
    <col min="4617" max="4617" width="10.28515625" style="512" customWidth="1"/>
    <col min="4618" max="4618" width="8.5703125" style="512" customWidth="1"/>
    <col min="4619" max="4619" width="10.28515625" style="512" customWidth="1"/>
    <col min="4620" max="4620" width="8.5703125" style="512" customWidth="1"/>
    <col min="4621" max="4621" width="10.28515625" style="512" customWidth="1"/>
    <col min="4622" max="4622" width="8.5703125" style="512" customWidth="1"/>
    <col min="4623" max="4623" width="10.28515625" style="512" customWidth="1"/>
    <col min="4624" max="4624" width="8.5703125" style="512" customWidth="1"/>
    <col min="4625" max="4625" width="10.28515625" style="512" customWidth="1"/>
    <col min="4626" max="4626" width="1.7109375" style="512" customWidth="1"/>
    <col min="4627" max="4863" width="9.140625" style="512"/>
    <col min="4864" max="4864" width="5.140625" style="512" customWidth="1"/>
    <col min="4865" max="4865" width="13.7109375" style="512" customWidth="1"/>
    <col min="4866" max="4866" width="8.5703125" style="512" customWidth="1"/>
    <col min="4867" max="4867" width="10.28515625" style="512" customWidth="1"/>
    <col min="4868" max="4868" width="8.5703125" style="512" customWidth="1"/>
    <col min="4869" max="4869" width="10.28515625" style="512" customWidth="1"/>
    <col min="4870" max="4870" width="8.5703125" style="512" customWidth="1"/>
    <col min="4871" max="4871" width="10.28515625" style="512" customWidth="1"/>
    <col min="4872" max="4872" width="6.85546875" style="512" customWidth="1"/>
    <col min="4873" max="4873" width="10.28515625" style="512" customWidth="1"/>
    <col min="4874" max="4874" width="8.5703125" style="512" customWidth="1"/>
    <col min="4875" max="4875" width="10.28515625" style="512" customWidth="1"/>
    <col min="4876" max="4876" width="8.5703125" style="512" customWidth="1"/>
    <col min="4877" max="4877" width="10.28515625" style="512" customWidth="1"/>
    <col min="4878" max="4878" width="8.5703125" style="512" customWidth="1"/>
    <col min="4879" max="4879" width="10.28515625" style="512" customWidth="1"/>
    <col min="4880" max="4880" width="8.5703125" style="512" customWidth="1"/>
    <col min="4881" max="4881" width="10.28515625" style="512" customWidth="1"/>
    <col min="4882" max="4882" width="1.7109375" style="512" customWidth="1"/>
    <col min="4883" max="5119" width="9.140625" style="512"/>
    <col min="5120" max="5120" width="5.140625" style="512" customWidth="1"/>
    <col min="5121" max="5121" width="13.7109375" style="512" customWidth="1"/>
    <col min="5122" max="5122" width="8.5703125" style="512" customWidth="1"/>
    <col min="5123" max="5123" width="10.28515625" style="512" customWidth="1"/>
    <col min="5124" max="5124" width="8.5703125" style="512" customWidth="1"/>
    <col min="5125" max="5125" width="10.28515625" style="512" customWidth="1"/>
    <col min="5126" max="5126" width="8.5703125" style="512" customWidth="1"/>
    <col min="5127" max="5127" width="10.28515625" style="512" customWidth="1"/>
    <col min="5128" max="5128" width="6.85546875" style="512" customWidth="1"/>
    <col min="5129" max="5129" width="10.28515625" style="512" customWidth="1"/>
    <col min="5130" max="5130" width="8.5703125" style="512" customWidth="1"/>
    <col min="5131" max="5131" width="10.28515625" style="512" customWidth="1"/>
    <col min="5132" max="5132" width="8.5703125" style="512" customWidth="1"/>
    <col min="5133" max="5133" width="10.28515625" style="512" customWidth="1"/>
    <col min="5134" max="5134" width="8.5703125" style="512" customWidth="1"/>
    <col min="5135" max="5135" width="10.28515625" style="512" customWidth="1"/>
    <col min="5136" max="5136" width="8.5703125" style="512" customWidth="1"/>
    <col min="5137" max="5137" width="10.28515625" style="512" customWidth="1"/>
    <col min="5138" max="5138" width="1.7109375" style="512" customWidth="1"/>
    <col min="5139" max="5375" width="9.140625" style="512"/>
    <col min="5376" max="5376" width="5.140625" style="512" customWidth="1"/>
    <col min="5377" max="5377" width="13.7109375" style="512" customWidth="1"/>
    <col min="5378" max="5378" width="8.5703125" style="512" customWidth="1"/>
    <col min="5379" max="5379" width="10.28515625" style="512" customWidth="1"/>
    <col min="5380" max="5380" width="8.5703125" style="512" customWidth="1"/>
    <col min="5381" max="5381" width="10.28515625" style="512" customWidth="1"/>
    <col min="5382" max="5382" width="8.5703125" style="512" customWidth="1"/>
    <col min="5383" max="5383" width="10.28515625" style="512" customWidth="1"/>
    <col min="5384" max="5384" width="6.85546875" style="512" customWidth="1"/>
    <col min="5385" max="5385" width="10.28515625" style="512" customWidth="1"/>
    <col min="5386" max="5386" width="8.5703125" style="512" customWidth="1"/>
    <col min="5387" max="5387" width="10.28515625" style="512" customWidth="1"/>
    <col min="5388" max="5388" width="8.5703125" style="512" customWidth="1"/>
    <col min="5389" max="5389" width="10.28515625" style="512" customWidth="1"/>
    <col min="5390" max="5390" width="8.5703125" style="512" customWidth="1"/>
    <col min="5391" max="5391" width="10.28515625" style="512" customWidth="1"/>
    <col min="5392" max="5392" width="8.5703125" style="512" customWidth="1"/>
    <col min="5393" max="5393" width="10.28515625" style="512" customWidth="1"/>
    <col min="5394" max="5394" width="1.7109375" style="512" customWidth="1"/>
    <col min="5395" max="5631" width="9.140625" style="512"/>
    <col min="5632" max="5632" width="5.140625" style="512" customWidth="1"/>
    <col min="5633" max="5633" width="13.7109375" style="512" customWidth="1"/>
    <col min="5634" max="5634" width="8.5703125" style="512" customWidth="1"/>
    <col min="5635" max="5635" width="10.28515625" style="512" customWidth="1"/>
    <col min="5636" max="5636" width="8.5703125" style="512" customWidth="1"/>
    <col min="5637" max="5637" width="10.28515625" style="512" customWidth="1"/>
    <col min="5638" max="5638" width="8.5703125" style="512" customWidth="1"/>
    <col min="5639" max="5639" width="10.28515625" style="512" customWidth="1"/>
    <col min="5640" max="5640" width="6.85546875" style="512" customWidth="1"/>
    <col min="5641" max="5641" width="10.28515625" style="512" customWidth="1"/>
    <col min="5642" max="5642" width="8.5703125" style="512" customWidth="1"/>
    <col min="5643" max="5643" width="10.28515625" style="512" customWidth="1"/>
    <col min="5644" max="5644" width="8.5703125" style="512" customWidth="1"/>
    <col min="5645" max="5645" width="10.28515625" style="512" customWidth="1"/>
    <col min="5646" max="5646" width="8.5703125" style="512" customWidth="1"/>
    <col min="5647" max="5647" width="10.28515625" style="512" customWidth="1"/>
    <col min="5648" max="5648" width="8.5703125" style="512" customWidth="1"/>
    <col min="5649" max="5649" width="10.28515625" style="512" customWidth="1"/>
    <col min="5650" max="5650" width="1.7109375" style="512" customWidth="1"/>
    <col min="5651" max="5887" width="9.140625" style="512"/>
    <col min="5888" max="5888" width="5.140625" style="512" customWidth="1"/>
    <col min="5889" max="5889" width="13.7109375" style="512" customWidth="1"/>
    <col min="5890" max="5890" width="8.5703125" style="512" customWidth="1"/>
    <col min="5891" max="5891" width="10.28515625" style="512" customWidth="1"/>
    <col min="5892" max="5892" width="8.5703125" style="512" customWidth="1"/>
    <col min="5893" max="5893" width="10.28515625" style="512" customWidth="1"/>
    <col min="5894" max="5894" width="8.5703125" style="512" customWidth="1"/>
    <col min="5895" max="5895" width="10.28515625" style="512" customWidth="1"/>
    <col min="5896" max="5896" width="6.85546875" style="512" customWidth="1"/>
    <col min="5897" max="5897" width="10.28515625" style="512" customWidth="1"/>
    <col min="5898" max="5898" width="8.5703125" style="512" customWidth="1"/>
    <col min="5899" max="5899" width="10.28515625" style="512" customWidth="1"/>
    <col min="5900" max="5900" width="8.5703125" style="512" customWidth="1"/>
    <col min="5901" max="5901" width="10.28515625" style="512" customWidth="1"/>
    <col min="5902" max="5902" width="8.5703125" style="512" customWidth="1"/>
    <col min="5903" max="5903" width="10.28515625" style="512" customWidth="1"/>
    <col min="5904" max="5904" width="8.5703125" style="512" customWidth="1"/>
    <col min="5905" max="5905" width="10.28515625" style="512" customWidth="1"/>
    <col min="5906" max="5906" width="1.7109375" style="512" customWidth="1"/>
    <col min="5907" max="6143" width="9.140625" style="512"/>
    <col min="6144" max="6144" width="5.140625" style="512" customWidth="1"/>
    <col min="6145" max="6145" width="13.7109375" style="512" customWidth="1"/>
    <col min="6146" max="6146" width="8.5703125" style="512" customWidth="1"/>
    <col min="6147" max="6147" width="10.28515625" style="512" customWidth="1"/>
    <col min="6148" max="6148" width="8.5703125" style="512" customWidth="1"/>
    <col min="6149" max="6149" width="10.28515625" style="512" customWidth="1"/>
    <col min="6150" max="6150" width="8.5703125" style="512" customWidth="1"/>
    <col min="6151" max="6151" width="10.28515625" style="512" customWidth="1"/>
    <col min="6152" max="6152" width="6.85546875" style="512" customWidth="1"/>
    <col min="6153" max="6153" width="10.28515625" style="512" customWidth="1"/>
    <col min="6154" max="6154" width="8.5703125" style="512" customWidth="1"/>
    <col min="6155" max="6155" width="10.28515625" style="512" customWidth="1"/>
    <col min="6156" max="6156" width="8.5703125" style="512" customWidth="1"/>
    <col min="6157" max="6157" width="10.28515625" style="512" customWidth="1"/>
    <col min="6158" max="6158" width="8.5703125" style="512" customWidth="1"/>
    <col min="6159" max="6159" width="10.28515625" style="512" customWidth="1"/>
    <col min="6160" max="6160" width="8.5703125" style="512" customWidth="1"/>
    <col min="6161" max="6161" width="10.28515625" style="512" customWidth="1"/>
    <col min="6162" max="6162" width="1.7109375" style="512" customWidth="1"/>
    <col min="6163" max="6399" width="9.140625" style="512"/>
    <col min="6400" max="6400" width="5.140625" style="512" customWidth="1"/>
    <col min="6401" max="6401" width="13.7109375" style="512" customWidth="1"/>
    <col min="6402" max="6402" width="8.5703125" style="512" customWidth="1"/>
    <col min="6403" max="6403" width="10.28515625" style="512" customWidth="1"/>
    <col min="6404" max="6404" width="8.5703125" style="512" customWidth="1"/>
    <col min="6405" max="6405" width="10.28515625" style="512" customWidth="1"/>
    <col min="6406" max="6406" width="8.5703125" style="512" customWidth="1"/>
    <col min="6407" max="6407" width="10.28515625" style="512" customWidth="1"/>
    <col min="6408" max="6408" width="6.85546875" style="512" customWidth="1"/>
    <col min="6409" max="6409" width="10.28515625" style="512" customWidth="1"/>
    <col min="6410" max="6410" width="8.5703125" style="512" customWidth="1"/>
    <col min="6411" max="6411" width="10.28515625" style="512" customWidth="1"/>
    <col min="6412" max="6412" width="8.5703125" style="512" customWidth="1"/>
    <col min="6413" max="6413" width="10.28515625" style="512" customWidth="1"/>
    <col min="6414" max="6414" width="8.5703125" style="512" customWidth="1"/>
    <col min="6415" max="6415" width="10.28515625" style="512" customWidth="1"/>
    <col min="6416" max="6416" width="8.5703125" style="512" customWidth="1"/>
    <col min="6417" max="6417" width="10.28515625" style="512" customWidth="1"/>
    <col min="6418" max="6418" width="1.7109375" style="512" customWidth="1"/>
    <col min="6419" max="6655" width="9.140625" style="512"/>
    <col min="6656" max="6656" width="5.140625" style="512" customWidth="1"/>
    <col min="6657" max="6657" width="13.7109375" style="512" customWidth="1"/>
    <col min="6658" max="6658" width="8.5703125" style="512" customWidth="1"/>
    <col min="6659" max="6659" width="10.28515625" style="512" customWidth="1"/>
    <col min="6660" max="6660" width="8.5703125" style="512" customWidth="1"/>
    <col min="6661" max="6661" width="10.28515625" style="512" customWidth="1"/>
    <col min="6662" max="6662" width="8.5703125" style="512" customWidth="1"/>
    <col min="6663" max="6663" width="10.28515625" style="512" customWidth="1"/>
    <col min="6664" max="6664" width="6.85546875" style="512" customWidth="1"/>
    <col min="6665" max="6665" width="10.28515625" style="512" customWidth="1"/>
    <col min="6666" max="6666" width="8.5703125" style="512" customWidth="1"/>
    <col min="6667" max="6667" width="10.28515625" style="512" customWidth="1"/>
    <col min="6668" max="6668" width="8.5703125" style="512" customWidth="1"/>
    <col min="6669" max="6669" width="10.28515625" style="512" customWidth="1"/>
    <col min="6670" max="6670" width="8.5703125" style="512" customWidth="1"/>
    <col min="6671" max="6671" width="10.28515625" style="512" customWidth="1"/>
    <col min="6672" max="6672" width="8.5703125" style="512" customWidth="1"/>
    <col min="6673" max="6673" width="10.28515625" style="512" customWidth="1"/>
    <col min="6674" max="6674" width="1.7109375" style="512" customWidth="1"/>
    <col min="6675" max="6911" width="9.140625" style="512"/>
    <col min="6912" max="6912" width="5.140625" style="512" customWidth="1"/>
    <col min="6913" max="6913" width="13.7109375" style="512" customWidth="1"/>
    <col min="6914" max="6914" width="8.5703125" style="512" customWidth="1"/>
    <col min="6915" max="6915" width="10.28515625" style="512" customWidth="1"/>
    <col min="6916" max="6916" width="8.5703125" style="512" customWidth="1"/>
    <col min="6917" max="6917" width="10.28515625" style="512" customWidth="1"/>
    <col min="6918" max="6918" width="8.5703125" style="512" customWidth="1"/>
    <col min="6919" max="6919" width="10.28515625" style="512" customWidth="1"/>
    <col min="6920" max="6920" width="6.85546875" style="512" customWidth="1"/>
    <col min="6921" max="6921" width="10.28515625" style="512" customWidth="1"/>
    <col min="6922" max="6922" width="8.5703125" style="512" customWidth="1"/>
    <col min="6923" max="6923" width="10.28515625" style="512" customWidth="1"/>
    <col min="6924" max="6924" width="8.5703125" style="512" customWidth="1"/>
    <col min="6925" max="6925" width="10.28515625" style="512" customWidth="1"/>
    <col min="6926" max="6926" width="8.5703125" style="512" customWidth="1"/>
    <col min="6927" max="6927" width="10.28515625" style="512" customWidth="1"/>
    <col min="6928" max="6928" width="8.5703125" style="512" customWidth="1"/>
    <col min="6929" max="6929" width="10.28515625" style="512" customWidth="1"/>
    <col min="6930" max="6930" width="1.7109375" style="512" customWidth="1"/>
    <col min="6931" max="7167" width="9.140625" style="512"/>
    <col min="7168" max="7168" width="5.140625" style="512" customWidth="1"/>
    <col min="7169" max="7169" width="13.7109375" style="512" customWidth="1"/>
    <col min="7170" max="7170" width="8.5703125" style="512" customWidth="1"/>
    <col min="7171" max="7171" width="10.28515625" style="512" customWidth="1"/>
    <col min="7172" max="7172" width="8.5703125" style="512" customWidth="1"/>
    <col min="7173" max="7173" width="10.28515625" style="512" customWidth="1"/>
    <col min="7174" max="7174" width="8.5703125" style="512" customWidth="1"/>
    <col min="7175" max="7175" width="10.28515625" style="512" customWidth="1"/>
    <col min="7176" max="7176" width="6.85546875" style="512" customWidth="1"/>
    <col min="7177" max="7177" width="10.28515625" style="512" customWidth="1"/>
    <col min="7178" max="7178" width="8.5703125" style="512" customWidth="1"/>
    <col min="7179" max="7179" width="10.28515625" style="512" customWidth="1"/>
    <col min="7180" max="7180" width="8.5703125" style="512" customWidth="1"/>
    <col min="7181" max="7181" width="10.28515625" style="512" customWidth="1"/>
    <col min="7182" max="7182" width="8.5703125" style="512" customWidth="1"/>
    <col min="7183" max="7183" width="10.28515625" style="512" customWidth="1"/>
    <col min="7184" max="7184" width="8.5703125" style="512" customWidth="1"/>
    <col min="7185" max="7185" width="10.28515625" style="512" customWidth="1"/>
    <col min="7186" max="7186" width="1.7109375" style="512" customWidth="1"/>
    <col min="7187" max="7423" width="9.140625" style="512"/>
    <col min="7424" max="7424" width="5.140625" style="512" customWidth="1"/>
    <col min="7425" max="7425" width="13.7109375" style="512" customWidth="1"/>
    <col min="7426" max="7426" width="8.5703125" style="512" customWidth="1"/>
    <col min="7427" max="7427" width="10.28515625" style="512" customWidth="1"/>
    <col min="7428" max="7428" width="8.5703125" style="512" customWidth="1"/>
    <col min="7429" max="7429" width="10.28515625" style="512" customWidth="1"/>
    <col min="7430" max="7430" width="8.5703125" style="512" customWidth="1"/>
    <col min="7431" max="7431" width="10.28515625" style="512" customWidth="1"/>
    <col min="7432" max="7432" width="6.85546875" style="512" customWidth="1"/>
    <col min="7433" max="7433" width="10.28515625" style="512" customWidth="1"/>
    <col min="7434" max="7434" width="8.5703125" style="512" customWidth="1"/>
    <col min="7435" max="7435" width="10.28515625" style="512" customWidth="1"/>
    <col min="7436" max="7436" width="8.5703125" style="512" customWidth="1"/>
    <col min="7437" max="7437" width="10.28515625" style="512" customWidth="1"/>
    <col min="7438" max="7438" width="8.5703125" style="512" customWidth="1"/>
    <col min="7439" max="7439" width="10.28515625" style="512" customWidth="1"/>
    <col min="7440" max="7440" width="8.5703125" style="512" customWidth="1"/>
    <col min="7441" max="7441" width="10.28515625" style="512" customWidth="1"/>
    <col min="7442" max="7442" width="1.7109375" style="512" customWidth="1"/>
    <col min="7443" max="7679" width="9.140625" style="512"/>
    <col min="7680" max="7680" width="5.140625" style="512" customWidth="1"/>
    <col min="7681" max="7681" width="13.7109375" style="512" customWidth="1"/>
    <col min="7682" max="7682" width="8.5703125" style="512" customWidth="1"/>
    <col min="7683" max="7683" width="10.28515625" style="512" customWidth="1"/>
    <col min="7684" max="7684" width="8.5703125" style="512" customWidth="1"/>
    <col min="7685" max="7685" width="10.28515625" style="512" customWidth="1"/>
    <col min="7686" max="7686" width="8.5703125" style="512" customWidth="1"/>
    <col min="7687" max="7687" width="10.28515625" style="512" customWidth="1"/>
    <col min="7688" max="7688" width="6.85546875" style="512" customWidth="1"/>
    <col min="7689" max="7689" width="10.28515625" style="512" customWidth="1"/>
    <col min="7690" max="7690" width="8.5703125" style="512" customWidth="1"/>
    <col min="7691" max="7691" width="10.28515625" style="512" customWidth="1"/>
    <col min="7692" max="7692" width="8.5703125" style="512" customWidth="1"/>
    <col min="7693" max="7693" width="10.28515625" style="512" customWidth="1"/>
    <col min="7694" max="7694" width="8.5703125" style="512" customWidth="1"/>
    <col min="7695" max="7695" width="10.28515625" style="512" customWidth="1"/>
    <col min="7696" max="7696" width="8.5703125" style="512" customWidth="1"/>
    <col min="7697" max="7697" width="10.28515625" style="512" customWidth="1"/>
    <col min="7698" max="7698" width="1.7109375" style="512" customWidth="1"/>
    <col min="7699" max="7935" width="9.140625" style="512"/>
    <col min="7936" max="7936" width="5.140625" style="512" customWidth="1"/>
    <col min="7937" max="7937" width="13.7109375" style="512" customWidth="1"/>
    <col min="7938" max="7938" width="8.5703125" style="512" customWidth="1"/>
    <col min="7939" max="7939" width="10.28515625" style="512" customWidth="1"/>
    <col min="7940" max="7940" width="8.5703125" style="512" customWidth="1"/>
    <col min="7941" max="7941" width="10.28515625" style="512" customWidth="1"/>
    <col min="7942" max="7942" width="8.5703125" style="512" customWidth="1"/>
    <col min="7943" max="7943" width="10.28515625" style="512" customWidth="1"/>
    <col min="7944" max="7944" width="6.85546875" style="512" customWidth="1"/>
    <col min="7945" max="7945" width="10.28515625" style="512" customWidth="1"/>
    <col min="7946" max="7946" width="8.5703125" style="512" customWidth="1"/>
    <col min="7947" max="7947" width="10.28515625" style="512" customWidth="1"/>
    <col min="7948" max="7948" width="8.5703125" style="512" customWidth="1"/>
    <col min="7949" max="7949" width="10.28515625" style="512" customWidth="1"/>
    <col min="7950" max="7950" width="8.5703125" style="512" customWidth="1"/>
    <col min="7951" max="7951" width="10.28515625" style="512" customWidth="1"/>
    <col min="7952" max="7952" width="8.5703125" style="512" customWidth="1"/>
    <col min="7953" max="7953" width="10.28515625" style="512" customWidth="1"/>
    <col min="7954" max="7954" width="1.7109375" style="512" customWidth="1"/>
    <col min="7955" max="8191" width="9.140625" style="512"/>
    <col min="8192" max="8192" width="5.140625" style="512" customWidth="1"/>
    <col min="8193" max="8193" width="13.7109375" style="512" customWidth="1"/>
    <col min="8194" max="8194" width="8.5703125" style="512" customWidth="1"/>
    <col min="8195" max="8195" width="10.28515625" style="512" customWidth="1"/>
    <col min="8196" max="8196" width="8.5703125" style="512" customWidth="1"/>
    <col min="8197" max="8197" width="10.28515625" style="512" customWidth="1"/>
    <col min="8198" max="8198" width="8.5703125" style="512" customWidth="1"/>
    <col min="8199" max="8199" width="10.28515625" style="512" customWidth="1"/>
    <col min="8200" max="8200" width="6.85546875" style="512" customWidth="1"/>
    <col min="8201" max="8201" width="10.28515625" style="512" customWidth="1"/>
    <col min="8202" max="8202" width="8.5703125" style="512" customWidth="1"/>
    <col min="8203" max="8203" width="10.28515625" style="512" customWidth="1"/>
    <col min="8204" max="8204" width="8.5703125" style="512" customWidth="1"/>
    <col min="8205" max="8205" width="10.28515625" style="512" customWidth="1"/>
    <col min="8206" max="8206" width="8.5703125" style="512" customWidth="1"/>
    <col min="8207" max="8207" width="10.28515625" style="512" customWidth="1"/>
    <col min="8208" max="8208" width="8.5703125" style="512" customWidth="1"/>
    <col min="8209" max="8209" width="10.28515625" style="512" customWidth="1"/>
    <col min="8210" max="8210" width="1.7109375" style="512" customWidth="1"/>
    <col min="8211" max="8447" width="9.140625" style="512"/>
    <col min="8448" max="8448" width="5.140625" style="512" customWidth="1"/>
    <col min="8449" max="8449" width="13.7109375" style="512" customWidth="1"/>
    <col min="8450" max="8450" width="8.5703125" style="512" customWidth="1"/>
    <col min="8451" max="8451" width="10.28515625" style="512" customWidth="1"/>
    <col min="8452" max="8452" width="8.5703125" style="512" customWidth="1"/>
    <col min="8453" max="8453" width="10.28515625" style="512" customWidth="1"/>
    <col min="8454" max="8454" width="8.5703125" style="512" customWidth="1"/>
    <col min="8455" max="8455" width="10.28515625" style="512" customWidth="1"/>
    <col min="8456" max="8456" width="6.85546875" style="512" customWidth="1"/>
    <col min="8457" max="8457" width="10.28515625" style="512" customWidth="1"/>
    <col min="8458" max="8458" width="8.5703125" style="512" customWidth="1"/>
    <col min="8459" max="8459" width="10.28515625" style="512" customWidth="1"/>
    <col min="8460" max="8460" width="8.5703125" style="512" customWidth="1"/>
    <col min="8461" max="8461" width="10.28515625" style="512" customWidth="1"/>
    <col min="8462" max="8462" width="8.5703125" style="512" customWidth="1"/>
    <col min="8463" max="8463" width="10.28515625" style="512" customWidth="1"/>
    <col min="8464" max="8464" width="8.5703125" style="512" customWidth="1"/>
    <col min="8465" max="8465" width="10.28515625" style="512" customWidth="1"/>
    <col min="8466" max="8466" width="1.7109375" style="512" customWidth="1"/>
    <col min="8467" max="8703" width="9.140625" style="512"/>
    <col min="8704" max="8704" width="5.140625" style="512" customWidth="1"/>
    <col min="8705" max="8705" width="13.7109375" style="512" customWidth="1"/>
    <col min="8706" max="8706" width="8.5703125" style="512" customWidth="1"/>
    <col min="8707" max="8707" width="10.28515625" style="512" customWidth="1"/>
    <col min="8708" max="8708" width="8.5703125" style="512" customWidth="1"/>
    <col min="8709" max="8709" width="10.28515625" style="512" customWidth="1"/>
    <col min="8710" max="8710" width="8.5703125" style="512" customWidth="1"/>
    <col min="8711" max="8711" width="10.28515625" style="512" customWidth="1"/>
    <col min="8712" max="8712" width="6.85546875" style="512" customWidth="1"/>
    <col min="8713" max="8713" width="10.28515625" style="512" customWidth="1"/>
    <col min="8714" max="8714" width="8.5703125" style="512" customWidth="1"/>
    <col min="8715" max="8715" width="10.28515625" style="512" customWidth="1"/>
    <col min="8716" max="8716" width="8.5703125" style="512" customWidth="1"/>
    <col min="8717" max="8717" width="10.28515625" style="512" customWidth="1"/>
    <col min="8718" max="8718" width="8.5703125" style="512" customWidth="1"/>
    <col min="8719" max="8719" width="10.28515625" style="512" customWidth="1"/>
    <col min="8720" max="8720" width="8.5703125" style="512" customWidth="1"/>
    <col min="8721" max="8721" width="10.28515625" style="512" customWidth="1"/>
    <col min="8722" max="8722" width="1.7109375" style="512" customWidth="1"/>
    <col min="8723" max="8959" width="9.140625" style="512"/>
    <col min="8960" max="8960" width="5.140625" style="512" customWidth="1"/>
    <col min="8961" max="8961" width="13.7109375" style="512" customWidth="1"/>
    <col min="8962" max="8962" width="8.5703125" style="512" customWidth="1"/>
    <col min="8963" max="8963" width="10.28515625" style="512" customWidth="1"/>
    <col min="8964" max="8964" width="8.5703125" style="512" customWidth="1"/>
    <col min="8965" max="8965" width="10.28515625" style="512" customWidth="1"/>
    <col min="8966" max="8966" width="8.5703125" style="512" customWidth="1"/>
    <col min="8967" max="8967" width="10.28515625" style="512" customWidth="1"/>
    <col min="8968" max="8968" width="6.85546875" style="512" customWidth="1"/>
    <col min="8969" max="8969" width="10.28515625" style="512" customWidth="1"/>
    <col min="8970" max="8970" width="8.5703125" style="512" customWidth="1"/>
    <col min="8971" max="8971" width="10.28515625" style="512" customWidth="1"/>
    <col min="8972" max="8972" width="8.5703125" style="512" customWidth="1"/>
    <col min="8973" max="8973" width="10.28515625" style="512" customWidth="1"/>
    <col min="8974" max="8974" width="8.5703125" style="512" customWidth="1"/>
    <col min="8975" max="8975" width="10.28515625" style="512" customWidth="1"/>
    <col min="8976" max="8976" width="8.5703125" style="512" customWidth="1"/>
    <col min="8977" max="8977" width="10.28515625" style="512" customWidth="1"/>
    <col min="8978" max="8978" width="1.7109375" style="512" customWidth="1"/>
    <col min="8979" max="9215" width="9.140625" style="512"/>
    <col min="9216" max="9216" width="5.140625" style="512" customWidth="1"/>
    <col min="9217" max="9217" width="13.7109375" style="512" customWidth="1"/>
    <col min="9218" max="9218" width="8.5703125" style="512" customWidth="1"/>
    <col min="9219" max="9219" width="10.28515625" style="512" customWidth="1"/>
    <col min="9220" max="9220" width="8.5703125" style="512" customWidth="1"/>
    <col min="9221" max="9221" width="10.28515625" style="512" customWidth="1"/>
    <col min="9222" max="9222" width="8.5703125" style="512" customWidth="1"/>
    <col min="9223" max="9223" width="10.28515625" style="512" customWidth="1"/>
    <col min="9224" max="9224" width="6.85546875" style="512" customWidth="1"/>
    <col min="9225" max="9225" width="10.28515625" style="512" customWidth="1"/>
    <col min="9226" max="9226" width="8.5703125" style="512" customWidth="1"/>
    <col min="9227" max="9227" width="10.28515625" style="512" customWidth="1"/>
    <col min="9228" max="9228" width="8.5703125" style="512" customWidth="1"/>
    <col min="9229" max="9229" width="10.28515625" style="512" customWidth="1"/>
    <col min="9230" max="9230" width="8.5703125" style="512" customWidth="1"/>
    <col min="9231" max="9231" width="10.28515625" style="512" customWidth="1"/>
    <col min="9232" max="9232" width="8.5703125" style="512" customWidth="1"/>
    <col min="9233" max="9233" width="10.28515625" style="512" customWidth="1"/>
    <col min="9234" max="9234" width="1.7109375" style="512" customWidth="1"/>
    <col min="9235" max="9471" width="9.140625" style="512"/>
    <col min="9472" max="9472" width="5.140625" style="512" customWidth="1"/>
    <col min="9473" max="9473" width="13.7109375" style="512" customWidth="1"/>
    <col min="9474" max="9474" width="8.5703125" style="512" customWidth="1"/>
    <col min="9475" max="9475" width="10.28515625" style="512" customWidth="1"/>
    <col min="9476" max="9476" width="8.5703125" style="512" customWidth="1"/>
    <col min="9477" max="9477" width="10.28515625" style="512" customWidth="1"/>
    <col min="9478" max="9478" width="8.5703125" style="512" customWidth="1"/>
    <col min="9479" max="9479" width="10.28515625" style="512" customWidth="1"/>
    <col min="9480" max="9480" width="6.85546875" style="512" customWidth="1"/>
    <col min="9481" max="9481" width="10.28515625" style="512" customWidth="1"/>
    <col min="9482" max="9482" width="8.5703125" style="512" customWidth="1"/>
    <col min="9483" max="9483" width="10.28515625" style="512" customWidth="1"/>
    <col min="9484" max="9484" width="8.5703125" style="512" customWidth="1"/>
    <col min="9485" max="9485" width="10.28515625" style="512" customWidth="1"/>
    <col min="9486" max="9486" width="8.5703125" style="512" customWidth="1"/>
    <col min="9487" max="9487" width="10.28515625" style="512" customWidth="1"/>
    <col min="9488" max="9488" width="8.5703125" style="512" customWidth="1"/>
    <col min="9489" max="9489" width="10.28515625" style="512" customWidth="1"/>
    <col min="9490" max="9490" width="1.7109375" style="512" customWidth="1"/>
    <col min="9491" max="9727" width="9.140625" style="512"/>
    <col min="9728" max="9728" width="5.140625" style="512" customWidth="1"/>
    <col min="9729" max="9729" width="13.7109375" style="512" customWidth="1"/>
    <col min="9730" max="9730" width="8.5703125" style="512" customWidth="1"/>
    <col min="9731" max="9731" width="10.28515625" style="512" customWidth="1"/>
    <col min="9732" max="9732" width="8.5703125" style="512" customWidth="1"/>
    <col min="9733" max="9733" width="10.28515625" style="512" customWidth="1"/>
    <col min="9734" max="9734" width="8.5703125" style="512" customWidth="1"/>
    <col min="9735" max="9735" width="10.28515625" style="512" customWidth="1"/>
    <col min="9736" max="9736" width="6.85546875" style="512" customWidth="1"/>
    <col min="9737" max="9737" width="10.28515625" style="512" customWidth="1"/>
    <col min="9738" max="9738" width="8.5703125" style="512" customWidth="1"/>
    <col min="9739" max="9739" width="10.28515625" style="512" customWidth="1"/>
    <col min="9740" max="9740" width="8.5703125" style="512" customWidth="1"/>
    <col min="9741" max="9741" width="10.28515625" style="512" customWidth="1"/>
    <col min="9742" max="9742" width="8.5703125" style="512" customWidth="1"/>
    <col min="9743" max="9743" width="10.28515625" style="512" customWidth="1"/>
    <col min="9744" max="9744" width="8.5703125" style="512" customWidth="1"/>
    <col min="9745" max="9745" width="10.28515625" style="512" customWidth="1"/>
    <col min="9746" max="9746" width="1.7109375" style="512" customWidth="1"/>
    <col min="9747" max="9983" width="9.140625" style="512"/>
    <col min="9984" max="9984" width="5.140625" style="512" customWidth="1"/>
    <col min="9985" max="9985" width="13.7109375" style="512" customWidth="1"/>
    <col min="9986" max="9986" width="8.5703125" style="512" customWidth="1"/>
    <col min="9987" max="9987" width="10.28515625" style="512" customWidth="1"/>
    <col min="9988" max="9988" width="8.5703125" style="512" customWidth="1"/>
    <col min="9989" max="9989" width="10.28515625" style="512" customWidth="1"/>
    <col min="9990" max="9990" width="8.5703125" style="512" customWidth="1"/>
    <col min="9991" max="9991" width="10.28515625" style="512" customWidth="1"/>
    <col min="9992" max="9992" width="6.85546875" style="512" customWidth="1"/>
    <col min="9993" max="9993" width="10.28515625" style="512" customWidth="1"/>
    <col min="9994" max="9994" width="8.5703125" style="512" customWidth="1"/>
    <col min="9995" max="9995" width="10.28515625" style="512" customWidth="1"/>
    <col min="9996" max="9996" width="8.5703125" style="512" customWidth="1"/>
    <col min="9997" max="9997" width="10.28515625" style="512" customWidth="1"/>
    <col min="9998" max="9998" width="8.5703125" style="512" customWidth="1"/>
    <col min="9999" max="9999" width="10.28515625" style="512" customWidth="1"/>
    <col min="10000" max="10000" width="8.5703125" style="512" customWidth="1"/>
    <col min="10001" max="10001" width="10.28515625" style="512" customWidth="1"/>
    <col min="10002" max="10002" width="1.7109375" style="512" customWidth="1"/>
    <col min="10003" max="10239" width="9.140625" style="512"/>
    <col min="10240" max="10240" width="5.140625" style="512" customWidth="1"/>
    <col min="10241" max="10241" width="13.7109375" style="512" customWidth="1"/>
    <col min="10242" max="10242" width="8.5703125" style="512" customWidth="1"/>
    <col min="10243" max="10243" width="10.28515625" style="512" customWidth="1"/>
    <col min="10244" max="10244" width="8.5703125" style="512" customWidth="1"/>
    <col min="10245" max="10245" width="10.28515625" style="512" customWidth="1"/>
    <col min="10246" max="10246" width="8.5703125" style="512" customWidth="1"/>
    <col min="10247" max="10247" width="10.28515625" style="512" customWidth="1"/>
    <col min="10248" max="10248" width="6.85546875" style="512" customWidth="1"/>
    <col min="10249" max="10249" width="10.28515625" style="512" customWidth="1"/>
    <col min="10250" max="10250" width="8.5703125" style="512" customWidth="1"/>
    <col min="10251" max="10251" width="10.28515625" style="512" customWidth="1"/>
    <col min="10252" max="10252" width="8.5703125" style="512" customWidth="1"/>
    <col min="10253" max="10253" width="10.28515625" style="512" customWidth="1"/>
    <col min="10254" max="10254" width="8.5703125" style="512" customWidth="1"/>
    <col min="10255" max="10255" width="10.28515625" style="512" customWidth="1"/>
    <col min="10256" max="10256" width="8.5703125" style="512" customWidth="1"/>
    <col min="10257" max="10257" width="10.28515625" style="512" customWidth="1"/>
    <col min="10258" max="10258" width="1.7109375" style="512" customWidth="1"/>
    <col min="10259" max="10495" width="9.140625" style="512"/>
    <col min="10496" max="10496" width="5.140625" style="512" customWidth="1"/>
    <col min="10497" max="10497" width="13.7109375" style="512" customWidth="1"/>
    <col min="10498" max="10498" width="8.5703125" style="512" customWidth="1"/>
    <col min="10499" max="10499" width="10.28515625" style="512" customWidth="1"/>
    <col min="10500" max="10500" width="8.5703125" style="512" customWidth="1"/>
    <col min="10501" max="10501" width="10.28515625" style="512" customWidth="1"/>
    <col min="10502" max="10502" width="8.5703125" style="512" customWidth="1"/>
    <col min="10503" max="10503" width="10.28515625" style="512" customWidth="1"/>
    <col min="10504" max="10504" width="6.85546875" style="512" customWidth="1"/>
    <col min="10505" max="10505" width="10.28515625" style="512" customWidth="1"/>
    <col min="10506" max="10506" width="8.5703125" style="512" customWidth="1"/>
    <col min="10507" max="10507" width="10.28515625" style="512" customWidth="1"/>
    <col min="10508" max="10508" width="8.5703125" style="512" customWidth="1"/>
    <col min="10509" max="10509" width="10.28515625" style="512" customWidth="1"/>
    <col min="10510" max="10510" width="8.5703125" style="512" customWidth="1"/>
    <col min="10511" max="10511" width="10.28515625" style="512" customWidth="1"/>
    <col min="10512" max="10512" width="8.5703125" style="512" customWidth="1"/>
    <col min="10513" max="10513" width="10.28515625" style="512" customWidth="1"/>
    <col min="10514" max="10514" width="1.7109375" style="512" customWidth="1"/>
    <col min="10515" max="10751" width="9.140625" style="512"/>
    <col min="10752" max="10752" width="5.140625" style="512" customWidth="1"/>
    <col min="10753" max="10753" width="13.7109375" style="512" customWidth="1"/>
    <col min="10754" max="10754" width="8.5703125" style="512" customWidth="1"/>
    <col min="10755" max="10755" width="10.28515625" style="512" customWidth="1"/>
    <col min="10756" max="10756" width="8.5703125" style="512" customWidth="1"/>
    <col min="10757" max="10757" width="10.28515625" style="512" customWidth="1"/>
    <col min="10758" max="10758" width="8.5703125" style="512" customWidth="1"/>
    <col min="10759" max="10759" width="10.28515625" style="512" customWidth="1"/>
    <col min="10760" max="10760" width="6.85546875" style="512" customWidth="1"/>
    <col min="10761" max="10761" width="10.28515625" style="512" customWidth="1"/>
    <col min="10762" max="10762" width="8.5703125" style="512" customWidth="1"/>
    <col min="10763" max="10763" width="10.28515625" style="512" customWidth="1"/>
    <col min="10764" max="10764" width="8.5703125" style="512" customWidth="1"/>
    <col min="10765" max="10765" width="10.28515625" style="512" customWidth="1"/>
    <col min="10766" max="10766" width="8.5703125" style="512" customWidth="1"/>
    <col min="10767" max="10767" width="10.28515625" style="512" customWidth="1"/>
    <col min="10768" max="10768" width="8.5703125" style="512" customWidth="1"/>
    <col min="10769" max="10769" width="10.28515625" style="512" customWidth="1"/>
    <col min="10770" max="10770" width="1.7109375" style="512" customWidth="1"/>
    <col min="10771" max="11007" width="9.140625" style="512"/>
    <col min="11008" max="11008" width="5.140625" style="512" customWidth="1"/>
    <col min="11009" max="11009" width="13.7109375" style="512" customWidth="1"/>
    <col min="11010" max="11010" width="8.5703125" style="512" customWidth="1"/>
    <col min="11011" max="11011" width="10.28515625" style="512" customWidth="1"/>
    <col min="11012" max="11012" width="8.5703125" style="512" customWidth="1"/>
    <col min="11013" max="11013" width="10.28515625" style="512" customWidth="1"/>
    <col min="11014" max="11014" width="8.5703125" style="512" customWidth="1"/>
    <col min="11015" max="11015" width="10.28515625" style="512" customWidth="1"/>
    <col min="11016" max="11016" width="6.85546875" style="512" customWidth="1"/>
    <col min="11017" max="11017" width="10.28515625" style="512" customWidth="1"/>
    <col min="11018" max="11018" width="8.5703125" style="512" customWidth="1"/>
    <col min="11019" max="11019" width="10.28515625" style="512" customWidth="1"/>
    <col min="11020" max="11020" width="8.5703125" style="512" customWidth="1"/>
    <col min="11021" max="11021" width="10.28515625" style="512" customWidth="1"/>
    <col min="11022" max="11022" width="8.5703125" style="512" customWidth="1"/>
    <col min="11023" max="11023" width="10.28515625" style="512" customWidth="1"/>
    <col min="11024" max="11024" width="8.5703125" style="512" customWidth="1"/>
    <col min="11025" max="11025" width="10.28515625" style="512" customWidth="1"/>
    <col min="11026" max="11026" width="1.7109375" style="512" customWidth="1"/>
    <col min="11027" max="11263" width="9.140625" style="512"/>
    <col min="11264" max="11264" width="5.140625" style="512" customWidth="1"/>
    <col min="11265" max="11265" width="13.7109375" style="512" customWidth="1"/>
    <col min="11266" max="11266" width="8.5703125" style="512" customWidth="1"/>
    <col min="11267" max="11267" width="10.28515625" style="512" customWidth="1"/>
    <col min="11268" max="11268" width="8.5703125" style="512" customWidth="1"/>
    <col min="11269" max="11269" width="10.28515625" style="512" customWidth="1"/>
    <col min="11270" max="11270" width="8.5703125" style="512" customWidth="1"/>
    <col min="11271" max="11271" width="10.28515625" style="512" customWidth="1"/>
    <col min="11272" max="11272" width="6.85546875" style="512" customWidth="1"/>
    <col min="11273" max="11273" width="10.28515625" style="512" customWidth="1"/>
    <col min="11274" max="11274" width="8.5703125" style="512" customWidth="1"/>
    <col min="11275" max="11275" width="10.28515625" style="512" customWidth="1"/>
    <col min="11276" max="11276" width="8.5703125" style="512" customWidth="1"/>
    <col min="11277" max="11277" width="10.28515625" style="512" customWidth="1"/>
    <col min="11278" max="11278" width="8.5703125" style="512" customWidth="1"/>
    <col min="11279" max="11279" width="10.28515625" style="512" customWidth="1"/>
    <col min="11280" max="11280" width="8.5703125" style="512" customWidth="1"/>
    <col min="11281" max="11281" width="10.28515625" style="512" customWidth="1"/>
    <col min="11282" max="11282" width="1.7109375" style="512" customWidth="1"/>
    <col min="11283" max="11519" width="9.140625" style="512"/>
    <col min="11520" max="11520" width="5.140625" style="512" customWidth="1"/>
    <col min="11521" max="11521" width="13.7109375" style="512" customWidth="1"/>
    <col min="11522" max="11522" width="8.5703125" style="512" customWidth="1"/>
    <col min="11523" max="11523" width="10.28515625" style="512" customWidth="1"/>
    <col min="11524" max="11524" width="8.5703125" style="512" customWidth="1"/>
    <col min="11525" max="11525" width="10.28515625" style="512" customWidth="1"/>
    <col min="11526" max="11526" width="8.5703125" style="512" customWidth="1"/>
    <col min="11527" max="11527" width="10.28515625" style="512" customWidth="1"/>
    <col min="11528" max="11528" width="6.85546875" style="512" customWidth="1"/>
    <col min="11529" max="11529" width="10.28515625" style="512" customWidth="1"/>
    <col min="11530" max="11530" width="8.5703125" style="512" customWidth="1"/>
    <col min="11531" max="11531" width="10.28515625" style="512" customWidth="1"/>
    <col min="11532" max="11532" width="8.5703125" style="512" customWidth="1"/>
    <col min="11533" max="11533" width="10.28515625" style="512" customWidth="1"/>
    <col min="11534" max="11534" width="8.5703125" style="512" customWidth="1"/>
    <col min="11535" max="11535" width="10.28515625" style="512" customWidth="1"/>
    <col min="11536" max="11536" width="8.5703125" style="512" customWidth="1"/>
    <col min="11537" max="11537" width="10.28515625" style="512" customWidth="1"/>
    <col min="11538" max="11538" width="1.7109375" style="512" customWidth="1"/>
    <col min="11539" max="11775" width="9.140625" style="512"/>
    <col min="11776" max="11776" width="5.140625" style="512" customWidth="1"/>
    <col min="11777" max="11777" width="13.7109375" style="512" customWidth="1"/>
    <col min="11778" max="11778" width="8.5703125" style="512" customWidth="1"/>
    <col min="11779" max="11779" width="10.28515625" style="512" customWidth="1"/>
    <col min="11780" max="11780" width="8.5703125" style="512" customWidth="1"/>
    <col min="11781" max="11781" width="10.28515625" style="512" customWidth="1"/>
    <col min="11782" max="11782" width="8.5703125" style="512" customWidth="1"/>
    <col min="11783" max="11783" width="10.28515625" style="512" customWidth="1"/>
    <col min="11784" max="11784" width="6.85546875" style="512" customWidth="1"/>
    <col min="11785" max="11785" width="10.28515625" style="512" customWidth="1"/>
    <col min="11786" max="11786" width="8.5703125" style="512" customWidth="1"/>
    <col min="11787" max="11787" width="10.28515625" style="512" customWidth="1"/>
    <col min="11788" max="11788" width="8.5703125" style="512" customWidth="1"/>
    <col min="11789" max="11789" width="10.28515625" style="512" customWidth="1"/>
    <col min="11790" max="11790" width="8.5703125" style="512" customWidth="1"/>
    <col min="11791" max="11791" width="10.28515625" style="512" customWidth="1"/>
    <col min="11792" max="11792" width="8.5703125" style="512" customWidth="1"/>
    <col min="11793" max="11793" width="10.28515625" style="512" customWidth="1"/>
    <col min="11794" max="11794" width="1.7109375" style="512" customWidth="1"/>
    <col min="11795" max="12031" width="9.140625" style="512"/>
    <col min="12032" max="12032" width="5.140625" style="512" customWidth="1"/>
    <col min="12033" max="12033" width="13.7109375" style="512" customWidth="1"/>
    <col min="12034" max="12034" width="8.5703125" style="512" customWidth="1"/>
    <col min="12035" max="12035" width="10.28515625" style="512" customWidth="1"/>
    <col min="12036" max="12036" width="8.5703125" style="512" customWidth="1"/>
    <col min="12037" max="12037" width="10.28515625" style="512" customWidth="1"/>
    <col min="12038" max="12038" width="8.5703125" style="512" customWidth="1"/>
    <col min="12039" max="12039" width="10.28515625" style="512" customWidth="1"/>
    <col min="12040" max="12040" width="6.85546875" style="512" customWidth="1"/>
    <col min="12041" max="12041" width="10.28515625" style="512" customWidth="1"/>
    <col min="12042" max="12042" width="8.5703125" style="512" customWidth="1"/>
    <col min="12043" max="12043" width="10.28515625" style="512" customWidth="1"/>
    <col min="12044" max="12044" width="8.5703125" style="512" customWidth="1"/>
    <col min="12045" max="12045" width="10.28515625" style="512" customWidth="1"/>
    <col min="12046" max="12046" width="8.5703125" style="512" customWidth="1"/>
    <col min="12047" max="12047" width="10.28515625" style="512" customWidth="1"/>
    <col min="12048" max="12048" width="8.5703125" style="512" customWidth="1"/>
    <col min="12049" max="12049" width="10.28515625" style="512" customWidth="1"/>
    <col min="12050" max="12050" width="1.7109375" style="512" customWidth="1"/>
    <col min="12051" max="12287" width="9.140625" style="512"/>
    <col min="12288" max="12288" width="5.140625" style="512" customWidth="1"/>
    <col min="12289" max="12289" width="13.7109375" style="512" customWidth="1"/>
    <col min="12290" max="12290" width="8.5703125" style="512" customWidth="1"/>
    <col min="12291" max="12291" width="10.28515625" style="512" customWidth="1"/>
    <col min="12292" max="12292" width="8.5703125" style="512" customWidth="1"/>
    <col min="12293" max="12293" width="10.28515625" style="512" customWidth="1"/>
    <col min="12294" max="12294" width="8.5703125" style="512" customWidth="1"/>
    <col min="12295" max="12295" width="10.28515625" style="512" customWidth="1"/>
    <col min="12296" max="12296" width="6.85546875" style="512" customWidth="1"/>
    <col min="12297" max="12297" width="10.28515625" style="512" customWidth="1"/>
    <col min="12298" max="12298" width="8.5703125" style="512" customWidth="1"/>
    <col min="12299" max="12299" width="10.28515625" style="512" customWidth="1"/>
    <col min="12300" max="12300" width="8.5703125" style="512" customWidth="1"/>
    <col min="12301" max="12301" width="10.28515625" style="512" customWidth="1"/>
    <col min="12302" max="12302" width="8.5703125" style="512" customWidth="1"/>
    <col min="12303" max="12303" width="10.28515625" style="512" customWidth="1"/>
    <col min="12304" max="12304" width="8.5703125" style="512" customWidth="1"/>
    <col min="12305" max="12305" width="10.28515625" style="512" customWidth="1"/>
    <col min="12306" max="12306" width="1.7109375" style="512" customWidth="1"/>
    <col min="12307" max="12543" width="9.140625" style="512"/>
    <col min="12544" max="12544" width="5.140625" style="512" customWidth="1"/>
    <col min="12545" max="12545" width="13.7109375" style="512" customWidth="1"/>
    <col min="12546" max="12546" width="8.5703125" style="512" customWidth="1"/>
    <col min="12547" max="12547" width="10.28515625" style="512" customWidth="1"/>
    <col min="12548" max="12548" width="8.5703125" style="512" customWidth="1"/>
    <col min="12549" max="12549" width="10.28515625" style="512" customWidth="1"/>
    <col min="12550" max="12550" width="8.5703125" style="512" customWidth="1"/>
    <col min="12551" max="12551" width="10.28515625" style="512" customWidth="1"/>
    <col min="12552" max="12552" width="6.85546875" style="512" customWidth="1"/>
    <col min="12553" max="12553" width="10.28515625" style="512" customWidth="1"/>
    <col min="12554" max="12554" width="8.5703125" style="512" customWidth="1"/>
    <col min="12555" max="12555" width="10.28515625" style="512" customWidth="1"/>
    <col min="12556" max="12556" width="8.5703125" style="512" customWidth="1"/>
    <col min="12557" max="12557" width="10.28515625" style="512" customWidth="1"/>
    <col min="12558" max="12558" width="8.5703125" style="512" customWidth="1"/>
    <col min="12559" max="12559" width="10.28515625" style="512" customWidth="1"/>
    <col min="12560" max="12560" width="8.5703125" style="512" customWidth="1"/>
    <col min="12561" max="12561" width="10.28515625" style="512" customWidth="1"/>
    <col min="12562" max="12562" width="1.7109375" style="512" customWidth="1"/>
    <col min="12563" max="12799" width="9.140625" style="512"/>
    <col min="12800" max="12800" width="5.140625" style="512" customWidth="1"/>
    <col min="12801" max="12801" width="13.7109375" style="512" customWidth="1"/>
    <col min="12802" max="12802" width="8.5703125" style="512" customWidth="1"/>
    <col min="12803" max="12803" width="10.28515625" style="512" customWidth="1"/>
    <col min="12804" max="12804" width="8.5703125" style="512" customWidth="1"/>
    <col min="12805" max="12805" width="10.28515625" style="512" customWidth="1"/>
    <col min="12806" max="12806" width="8.5703125" style="512" customWidth="1"/>
    <col min="12807" max="12807" width="10.28515625" style="512" customWidth="1"/>
    <col min="12808" max="12808" width="6.85546875" style="512" customWidth="1"/>
    <col min="12809" max="12809" width="10.28515625" style="512" customWidth="1"/>
    <col min="12810" max="12810" width="8.5703125" style="512" customWidth="1"/>
    <col min="12811" max="12811" width="10.28515625" style="512" customWidth="1"/>
    <col min="12812" max="12812" width="8.5703125" style="512" customWidth="1"/>
    <col min="12813" max="12813" width="10.28515625" style="512" customWidth="1"/>
    <col min="12814" max="12814" width="8.5703125" style="512" customWidth="1"/>
    <col min="12815" max="12815" width="10.28515625" style="512" customWidth="1"/>
    <col min="12816" max="12816" width="8.5703125" style="512" customWidth="1"/>
    <col min="12817" max="12817" width="10.28515625" style="512" customWidth="1"/>
    <col min="12818" max="12818" width="1.7109375" style="512" customWidth="1"/>
    <col min="12819" max="13055" width="9.140625" style="512"/>
    <col min="13056" max="13056" width="5.140625" style="512" customWidth="1"/>
    <col min="13057" max="13057" width="13.7109375" style="512" customWidth="1"/>
    <col min="13058" max="13058" width="8.5703125" style="512" customWidth="1"/>
    <col min="13059" max="13059" width="10.28515625" style="512" customWidth="1"/>
    <col min="13060" max="13060" width="8.5703125" style="512" customWidth="1"/>
    <col min="13061" max="13061" width="10.28515625" style="512" customWidth="1"/>
    <col min="13062" max="13062" width="8.5703125" style="512" customWidth="1"/>
    <col min="13063" max="13063" width="10.28515625" style="512" customWidth="1"/>
    <col min="13064" max="13064" width="6.85546875" style="512" customWidth="1"/>
    <col min="13065" max="13065" width="10.28515625" style="512" customWidth="1"/>
    <col min="13066" max="13066" width="8.5703125" style="512" customWidth="1"/>
    <col min="13067" max="13067" width="10.28515625" style="512" customWidth="1"/>
    <col min="13068" max="13068" width="8.5703125" style="512" customWidth="1"/>
    <col min="13069" max="13069" width="10.28515625" style="512" customWidth="1"/>
    <col min="13070" max="13070" width="8.5703125" style="512" customWidth="1"/>
    <col min="13071" max="13071" width="10.28515625" style="512" customWidth="1"/>
    <col min="13072" max="13072" width="8.5703125" style="512" customWidth="1"/>
    <col min="13073" max="13073" width="10.28515625" style="512" customWidth="1"/>
    <col min="13074" max="13074" width="1.7109375" style="512" customWidth="1"/>
    <col min="13075" max="13311" width="9.140625" style="512"/>
    <col min="13312" max="13312" width="5.140625" style="512" customWidth="1"/>
    <col min="13313" max="13313" width="13.7109375" style="512" customWidth="1"/>
    <col min="13314" max="13314" width="8.5703125" style="512" customWidth="1"/>
    <col min="13315" max="13315" width="10.28515625" style="512" customWidth="1"/>
    <col min="13316" max="13316" width="8.5703125" style="512" customWidth="1"/>
    <col min="13317" max="13317" width="10.28515625" style="512" customWidth="1"/>
    <col min="13318" max="13318" width="8.5703125" style="512" customWidth="1"/>
    <col min="13319" max="13319" width="10.28515625" style="512" customWidth="1"/>
    <col min="13320" max="13320" width="6.85546875" style="512" customWidth="1"/>
    <col min="13321" max="13321" width="10.28515625" style="512" customWidth="1"/>
    <col min="13322" max="13322" width="8.5703125" style="512" customWidth="1"/>
    <col min="13323" max="13323" width="10.28515625" style="512" customWidth="1"/>
    <col min="13324" max="13324" width="8.5703125" style="512" customWidth="1"/>
    <col min="13325" max="13325" width="10.28515625" style="512" customWidth="1"/>
    <col min="13326" max="13326" width="8.5703125" style="512" customWidth="1"/>
    <col min="13327" max="13327" width="10.28515625" style="512" customWidth="1"/>
    <col min="13328" max="13328" width="8.5703125" style="512" customWidth="1"/>
    <col min="13329" max="13329" width="10.28515625" style="512" customWidth="1"/>
    <col min="13330" max="13330" width="1.7109375" style="512" customWidth="1"/>
    <col min="13331" max="13567" width="9.140625" style="512"/>
    <col min="13568" max="13568" width="5.140625" style="512" customWidth="1"/>
    <col min="13569" max="13569" width="13.7109375" style="512" customWidth="1"/>
    <col min="13570" max="13570" width="8.5703125" style="512" customWidth="1"/>
    <col min="13571" max="13571" width="10.28515625" style="512" customWidth="1"/>
    <col min="13572" max="13572" width="8.5703125" style="512" customWidth="1"/>
    <col min="13573" max="13573" width="10.28515625" style="512" customWidth="1"/>
    <col min="13574" max="13574" width="8.5703125" style="512" customWidth="1"/>
    <col min="13575" max="13575" width="10.28515625" style="512" customWidth="1"/>
    <col min="13576" max="13576" width="6.85546875" style="512" customWidth="1"/>
    <col min="13577" max="13577" width="10.28515625" style="512" customWidth="1"/>
    <col min="13578" max="13578" width="8.5703125" style="512" customWidth="1"/>
    <col min="13579" max="13579" width="10.28515625" style="512" customWidth="1"/>
    <col min="13580" max="13580" width="8.5703125" style="512" customWidth="1"/>
    <col min="13581" max="13581" width="10.28515625" style="512" customWidth="1"/>
    <col min="13582" max="13582" width="8.5703125" style="512" customWidth="1"/>
    <col min="13583" max="13583" width="10.28515625" style="512" customWidth="1"/>
    <col min="13584" max="13584" width="8.5703125" style="512" customWidth="1"/>
    <col min="13585" max="13585" width="10.28515625" style="512" customWidth="1"/>
    <col min="13586" max="13586" width="1.7109375" style="512" customWidth="1"/>
    <col min="13587" max="13823" width="9.140625" style="512"/>
    <col min="13824" max="13824" width="5.140625" style="512" customWidth="1"/>
    <col min="13825" max="13825" width="13.7109375" style="512" customWidth="1"/>
    <col min="13826" max="13826" width="8.5703125" style="512" customWidth="1"/>
    <col min="13827" max="13827" width="10.28515625" style="512" customWidth="1"/>
    <col min="13828" max="13828" width="8.5703125" style="512" customWidth="1"/>
    <col min="13829" max="13829" width="10.28515625" style="512" customWidth="1"/>
    <col min="13830" max="13830" width="8.5703125" style="512" customWidth="1"/>
    <col min="13831" max="13831" width="10.28515625" style="512" customWidth="1"/>
    <col min="13832" max="13832" width="6.85546875" style="512" customWidth="1"/>
    <col min="13833" max="13833" width="10.28515625" style="512" customWidth="1"/>
    <col min="13834" max="13834" width="8.5703125" style="512" customWidth="1"/>
    <col min="13835" max="13835" width="10.28515625" style="512" customWidth="1"/>
    <col min="13836" max="13836" width="8.5703125" style="512" customWidth="1"/>
    <col min="13837" max="13837" width="10.28515625" style="512" customWidth="1"/>
    <col min="13838" max="13838" width="8.5703125" style="512" customWidth="1"/>
    <col min="13839" max="13839" width="10.28515625" style="512" customWidth="1"/>
    <col min="13840" max="13840" width="8.5703125" style="512" customWidth="1"/>
    <col min="13841" max="13841" width="10.28515625" style="512" customWidth="1"/>
    <col min="13842" max="13842" width="1.7109375" style="512" customWidth="1"/>
    <col min="13843" max="14079" width="9.140625" style="512"/>
    <col min="14080" max="14080" width="5.140625" style="512" customWidth="1"/>
    <col min="14081" max="14081" width="13.7109375" style="512" customWidth="1"/>
    <col min="14082" max="14082" width="8.5703125" style="512" customWidth="1"/>
    <col min="14083" max="14083" width="10.28515625" style="512" customWidth="1"/>
    <col min="14084" max="14084" width="8.5703125" style="512" customWidth="1"/>
    <col min="14085" max="14085" width="10.28515625" style="512" customWidth="1"/>
    <col min="14086" max="14086" width="8.5703125" style="512" customWidth="1"/>
    <col min="14087" max="14087" width="10.28515625" style="512" customWidth="1"/>
    <col min="14088" max="14088" width="6.85546875" style="512" customWidth="1"/>
    <col min="14089" max="14089" width="10.28515625" style="512" customWidth="1"/>
    <col min="14090" max="14090" width="8.5703125" style="512" customWidth="1"/>
    <col min="14091" max="14091" width="10.28515625" style="512" customWidth="1"/>
    <col min="14092" max="14092" width="8.5703125" style="512" customWidth="1"/>
    <col min="14093" max="14093" width="10.28515625" style="512" customWidth="1"/>
    <col min="14094" max="14094" width="8.5703125" style="512" customWidth="1"/>
    <col min="14095" max="14095" width="10.28515625" style="512" customWidth="1"/>
    <col min="14096" max="14096" width="8.5703125" style="512" customWidth="1"/>
    <col min="14097" max="14097" width="10.28515625" style="512" customWidth="1"/>
    <col min="14098" max="14098" width="1.7109375" style="512" customWidth="1"/>
    <col min="14099" max="14335" width="9.140625" style="512"/>
    <col min="14336" max="14336" width="5.140625" style="512" customWidth="1"/>
    <col min="14337" max="14337" width="13.7109375" style="512" customWidth="1"/>
    <col min="14338" max="14338" width="8.5703125" style="512" customWidth="1"/>
    <col min="14339" max="14339" width="10.28515625" style="512" customWidth="1"/>
    <col min="14340" max="14340" width="8.5703125" style="512" customWidth="1"/>
    <col min="14341" max="14341" width="10.28515625" style="512" customWidth="1"/>
    <col min="14342" max="14342" width="8.5703125" style="512" customWidth="1"/>
    <col min="14343" max="14343" width="10.28515625" style="512" customWidth="1"/>
    <col min="14344" max="14344" width="6.85546875" style="512" customWidth="1"/>
    <col min="14345" max="14345" width="10.28515625" style="512" customWidth="1"/>
    <col min="14346" max="14346" width="8.5703125" style="512" customWidth="1"/>
    <col min="14347" max="14347" width="10.28515625" style="512" customWidth="1"/>
    <col min="14348" max="14348" width="8.5703125" style="512" customWidth="1"/>
    <col min="14349" max="14349" width="10.28515625" style="512" customWidth="1"/>
    <col min="14350" max="14350" width="8.5703125" style="512" customWidth="1"/>
    <col min="14351" max="14351" width="10.28515625" style="512" customWidth="1"/>
    <col min="14352" max="14352" width="8.5703125" style="512" customWidth="1"/>
    <col min="14353" max="14353" width="10.28515625" style="512" customWidth="1"/>
    <col min="14354" max="14354" width="1.7109375" style="512" customWidth="1"/>
    <col min="14355" max="14591" width="9.140625" style="512"/>
    <col min="14592" max="14592" width="5.140625" style="512" customWidth="1"/>
    <col min="14593" max="14593" width="13.7109375" style="512" customWidth="1"/>
    <col min="14594" max="14594" width="8.5703125" style="512" customWidth="1"/>
    <col min="14595" max="14595" width="10.28515625" style="512" customWidth="1"/>
    <col min="14596" max="14596" width="8.5703125" style="512" customWidth="1"/>
    <col min="14597" max="14597" width="10.28515625" style="512" customWidth="1"/>
    <col min="14598" max="14598" width="8.5703125" style="512" customWidth="1"/>
    <col min="14599" max="14599" width="10.28515625" style="512" customWidth="1"/>
    <col min="14600" max="14600" width="6.85546875" style="512" customWidth="1"/>
    <col min="14601" max="14601" width="10.28515625" style="512" customWidth="1"/>
    <col min="14602" max="14602" width="8.5703125" style="512" customWidth="1"/>
    <col min="14603" max="14603" width="10.28515625" style="512" customWidth="1"/>
    <col min="14604" max="14604" width="8.5703125" style="512" customWidth="1"/>
    <col min="14605" max="14605" width="10.28515625" style="512" customWidth="1"/>
    <col min="14606" max="14606" width="8.5703125" style="512" customWidth="1"/>
    <col min="14607" max="14607" width="10.28515625" style="512" customWidth="1"/>
    <col min="14608" max="14608" width="8.5703125" style="512" customWidth="1"/>
    <col min="14609" max="14609" width="10.28515625" style="512" customWidth="1"/>
    <col min="14610" max="14610" width="1.7109375" style="512" customWidth="1"/>
    <col min="14611" max="14847" width="9.140625" style="512"/>
    <col min="14848" max="14848" width="5.140625" style="512" customWidth="1"/>
    <col min="14849" max="14849" width="13.7109375" style="512" customWidth="1"/>
    <col min="14850" max="14850" width="8.5703125" style="512" customWidth="1"/>
    <col min="14851" max="14851" width="10.28515625" style="512" customWidth="1"/>
    <col min="14852" max="14852" width="8.5703125" style="512" customWidth="1"/>
    <col min="14853" max="14853" width="10.28515625" style="512" customWidth="1"/>
    <col min="14854" max="14854" width="8.5703125" style="512" customWidth="1"/>
    <col min="14855" max="14855" width="10.28515625" style="512" customWidth="1"/>
    <col min="14856" max="14856" width="6.85546875" style="512" customWidth="1"/>
    <col min="14857" max="14857" width="10.28515625" style="512" customWidth="1"/>
    <col min="14858" max="14858" width="8.5703125" style="512" customWidth="1"/>
    <col min="14859" max="14859" width="10.28515625" style="512" customWidth="1"/>
    <col min="14860" max="14860" width="8.5703125" style="512" customWidth="1"/>
    <col min="14861" max="14861" width="10.28515625" style="512" customWidth="1"/>
    <col min="14862" max="14862" width="8.5703125" style="512" customWidth="1"/>
    <col min="14863" max="14863" width="10.28515625" style="512" customWidth="1"/>
    <col min="14864" max="14864" width="8.5703125" style="512" customWidth="1"/>
    <col min="14865" max="14865" width="10.28515625" style="512" customWidth="1"/>
    <col min="14866" max="14866" width="1.7109375" style="512" customWidth="1"/>
    <col min="14867" max="15103" width="9.140625" style="512"/>
    <col min="15104" max="15104" width="5.140625" style="512" customWidth="1"/>
    <col min="15105" max="15105" width="13.7109375" style="512" customWidth="1"/>
    <col min="15106" max="15106" width="8.5703125" style="512" customWidth="1"/>
    <col min="15107" max="15107" width="10.28515625" style="512" customWidth="1"/>
    <col min="15108" max="15108" width="8.5703125" style="512" customWidth="1"/>
    <col min="15109" max="15109" width="10.28515625" style="512" customWidth="1"/>
    <col min="15110" max="15110" width="8.5703125" style="512" customWidth="1"/>
    <col min="15111" max="15111" width="10.28515625" style="512" customWidth="1"/>
    <col min="15112" max="15112" width="6.85546875" style="512" customWidth="1"/>
    <col min="15113" max="15113" width="10.28515625" style="512" customWidth="1"/>
    <col min="15114" max="15114" width="8.5703125" style="512" customWidth="1"/>
    <col min="15115" max="15115" width="10.28515625" style="512" customWidth="1"/>
    <col min="15116" max="15116" width="8.5703125" style="512" customWidth="1"/>
    <col min="15117" max="15117" width="10.28515625" style="512" customWidth="1"/>
    <col min="15118" max="15118" width="8.5703125" style="512" customWidth="1"/>
    <col min="15119" max="15119" width="10.28515625" style="512" customWidth="1"/>
    <col min="15120" max="15120" width="8.5703125" style="512" customWidth="1"/>
    <col min="15121" max="15121" width="10.28515625" style="512" customWidth="1"/>
    <col min="15122" max="15122" width="1.7109375" style="512" customWidth="1"/>
    <col min="15123" max="15359" width="9.140625" style="512"/>
    <col min="15360" max="15360" width="5.140625" style="512" customWidth="1"/>
    <col min="15361" max="15361" width="13.7109375" style="512" customWidth="1"/>
    <col min="15362" max="15362" width="8.5703125" style="512" customWidth="1"/>
    <col min="15363" max="15363" width="10.28515625" style="512" customWidth="1"/>
    <col min="15364" max="15364" width="8.5703125" style="512" customWidth="1"/>
    <col min="15365" max="15365" width="10.28515625" style="512" customWidth="1"/>
    <col min="15366" max="15366" width="8.5703125" style="512" customWidth="1"/>
    <col min="15367" max="15367" width="10.28515625" style="512" customWidth="1"/>
    <col min="15368" max="15368" width="6.85546875" style="512" customWidth="1"/>
    <col min="15369" max="15369" width="10.28515625" style="512" customWidth="1"/>
    <col min="15370" max="15370" width="8.5703125" style="512" customWidth="1"/>
    <col min="15371" max="15371" width="10.28515625" style="512" customWidth="1"/>
    <col min="15372" max="15372" width="8.5703125" style="512" customWidth="1"/>
    <col min="15373" max="15373" width="10.28515625" style="512" customWidth="1"/>
    <col min="15374" max="15374" width="8.5703125" style="512" customWidth="1"/>
    <col min="15375" max="15375" width="10.28515625" style="512" customWidth="1"/>
    <col min="15376" max="15376" width="8.5703125" style="512" customWidth="1"/>
    <col min="15377" max="15377" width="10.28515625" style="512" customWidth="1"/>
    <col min="15378" max="15378" width="1.7109375" style="512" customWidth="1"/>
    <col min="15379" max="15615" width="9.140625" style="512"/>
    <col min="15616" max="15616" width="5.140625" style="512" customWidth="1"/>
    <col min="15617" max="15617" width="13.7109375" style="512" customWidth="1"/>
    <col min="15618" max="15618" width="8.5703125" style="512" customWidth="1"/>
    <col min="15619" max="15619" width="10.28515625" style="512" customWidth="1"/>
    <col min="15620" max="15620" width="8.5703125" style="512" customWidth="1"/>
    <col min="15621" max="15621" width="10.28515625" style="512" customWidth="1"/>
    <col min="15622" max="15622" width="8.5703125" style="512" customWidth="1"/>
    <col min="15623" max="15623" width="10.28515625" style="512" customWidth="1"/>
    <col min="15624" max="15624" width="6.85546875" style="512" customWidth="1"/>
    <col min="15625" max="15625" width="10.28515625" style="512" customWidth="1"/>
    <col min="15626" max="15626" width="8.5703125" style="512" customWidth="1"/>
    <col min="15627" max="15627" width="10.28515625" style="512" customWidth="1"/>
    <col min="15628" max="15628" width="8.5703125" style="512" customWidth="1"/>
    <col min="15629" max="15629" width="10.28515625" style="512" customWidth="1"/>
    <col min="15630" max="15630" width="8.5703125" style="512" customWidth="1"/>
    <col min="15631" max="15631" width="10.28515625" style="512" customWidth="1"/>
    <col min="15632" max="15632" width="8.5703125" style="512" customWidth="1"/>
    <col min="15633" max="15633" width="10.28515625" style="512" customWidth="1"/>
    <col min="15634" max="15634" width="1.7109375" style="512" customWidth="1"/>
    <col min="15635" max="15871" width="9.140625" style="512"/>
    <col min="15872" max="15872" width="5.140625" style="512" customWidth="1"/>
    <col min="15873" max="15873" width="13.7109375" style="512" customWidth="1"/>
    <col min="15874" max="15874" width="8.5703125" style="512" customWidth="1"/>
    <col min="15875" max="15875" width="10.28515625" style="512" customWidth="1"/>
    <col min="15876" max="15876" width="8.5703125" style="512" customWidth="1"/>
    <col min="15877" max="15877" width="10.28515625" style="512" customWidth="1"/>
    <col min="15878" max="15878" width="8.5703125" style="512" customWidth="1"/>
    <col min="15879" max="15879" width="10.28515625" style="512" customWidth="1"/>
    <col min="15880" max="15880" width="6.85546875" style="512" customWidth="1"/>
    <col min="15881" max="15881" width="10.28515625" style="512" customWidth="1"/>
    <col min="15882" max="15882" width="8.5703125" style="512" customWidth="1"/>
    <col min="15883" max="15883" width="10.28515625" style="512" customWidth="1"/>
    <col min="15884" max="15884" width="8.5703125" style="512" customWidth="1"/>
    <col min="15885" max="15885" width="10.28515625" style="512" customWidth="1"/>
    <col min="15886" max="15886" width="8.5703125" style="512" customWidth="1"/>
    <col min="15887" max="15887" width="10.28515625" style="512" customWidth="1"/>
    <col min="15888" max="15888" width="8.5703125" style="512" customWidth="1"/>
    <col min="15889" max="15889" width="10.28515625" style="512" customWidth="1"/>
    <col min="15890" max="15890" width="1.7109375" style="512" customWidth="1"/>
    <col min="15891" max="16127" width="9.140625" style="512"/>
    <col min="16128" max="16128" width="5.140625" style="512" customWidth="1"/>
    <col min="16129" max="16129" width="13.7109375" style="512" customWidth="1"/>
    <col min="16130" max="16130" width="8.5703125" style="512" customWidth="1"/>
    <col min="16131" max="16131" width="10.28515625" style="512" customWidth="1"/>
    <col min="16132" max="16132" width="8.5703125" style="512" customWidth="1"/>
    <col min="16133" max="16133" width="10.28515625" style="512" customWidth="1"/>
    <col min="16134" max="16134" width="8.5703125" style="512" customWidth="1"/>
    <col min="16135" max="16135" width="10.28515625" style="512" customWidth="1"/>
    <col min="16136" max="16136" width="6.85546875" style="512" customWidth="1"/>
    <col min="16137" max="16137" width="10.28515625" style="512" customWidth="1"/>
    <col min="16138" max="16138" width="8.5703125" style="512" customWidth="1"/>
    <col min="16139" max="16139" width="10.28515625" style="512" customWidth="1"/>
    <col min="16140" max="16140" width="8.5703125" style="512" customWidth="1"/>
    <col min="16141" max="16141" width="10.28515625" style="512" customWidth="1"/>
    <col min="16142" max="16142" width="8.5703125" style="512" customWidth="1"/>
    <col min="16143" max="16143" width="10.28515625" style="512" customWidth="1"/>
    <col min="16144" max="16144" width="8.5703125" style="512" customWidth="1"/>
    <col min="16145" max="16145" width="10.28515625" style="512" customWidth="1"/>
    <col min="16146" max="16146" width="1.7109375" style="512" customWidth="1"/>
    <col min="16147" max="16384" width="9.140625" style="512"/>
  </cols>
  <sheetData>
    <row r="1" spans="1:18" s="510" customFormat="1" ht="24.95" customHeight="1">
      <c r="A1" s="714"/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5"/>
      <c r="M1" s="715"/>
      <c r="N1" s="715"/>
      <c r="O1" s="715"/>
      <c r="P1" s="715"/>
      <c r="Q1" s="715"/>
      <c r="R1" s="715"/>
    </row>
    <row r="2" spans="1:18" ht="7.7" customHeight="1"/>
    <row r="3" spans="1:18" ht="18" customHeight="1">
      <c r="A3" s="716"/>
      <c r="B3" s="717"/>
      <c r="C3" s="717"/>
      <c r="D3" s="717"/>
      <c r="E3" s="717"/>
      <c r="F3" s="717"/>
      <c r="G3" s="717"/>
      <c r="H3" s="717"/>
      <c r="I3" s="717"/>
      <c r="J3" s="717"/>
      <c r="K3" s="717"/>
      <c r="L3" s="717"/>
      <c r="M3" s="717"/>
      <c r="N3" s="717"/>
      <c r="O3" s="717"/>
      <c r="P3" s="717"/>
      <c r="Q3" s="717"/>
      <c r="R3" s="717"/>
    </row>
    <row r="4" spans="1:18" ht="9" customHeight="1"/>
    <row r="5" spans="1:18" ht="13.9" customHeight="1">
      <c r="A5" s="513"/>
      <c r="B5" s="514"/>
      <c r="C5" s="718"/>
      <c r="D5" s="713"/>
      <c r="E5" s="713"/>
      <c r="F5" s="713"/>
      <c r="G5" s="713"/>
      <c r="H5" s="713"/>
      <c r="I5" s="713"/>
      <c r="J5" s="713"/>
      <c r="K5" s="713"/>
      <c r="L5" s="713"/>
      <c r="M5" s="713"/>
      <c r="N5" s="713"/>
      <c r="O5" s="713"/>
      <c r="P5" s="713"/>
      <c r="Q5" s="713"/>
      <c r="R5" s="713"/>
    </row>
    <row r="6" spans="1:18" ht="31.35" customHeight="1">
      <c r="A6" s="513"/>
      <c r="B6" s="515"/>
      <c r="C6" s="712"/>
      <c r="D6" s="713"/>
      <c r="E6" s="712"/>
      <c r="F6" s="713"/>
      <c r="G6" s="712"/>
      <c r="H6" s="713"/>
      <c r="I6" s="712"/>
      <c r="J6" s="713"/>
      <c r="K6" s="712"/>
      <c r="L6" s="713"/>
      <c r="M6" s="712"/>
      <c r="N6" s="713"/>
      <c r="O6" s="712"/>
      <c r="P6" s="713"/>
      <c r="Q6" s="712"/>
      <c r="R6" s="713"/>
    </row>
    <row r="7" spans="1:18">
      <c r="A7" s="513"/>
      <c r="B7" s="515"/>
      <c r="C7" s="514"/>
      <c r="D7" s="514"/>
      <c r="E7" s="514"/>
      <c r="F7" s="514"/>
      <c r="G7" s="514"/>
      <c r="H7" s="514"/>
      <c r="I7" s="514"/>
      <c r="J7" s="514"/>
      <c r="K7" s="514"/>
      <c r="L7" s="514"/>
      <c r="M7" s="514"/>
      <c r="N7" s="514"/>
      <c r="O7" s="514"/>
      <c r="P7" s="514"/>
      <c r="Q7" s="514"/>
      <c r="R7" s="514"/>
    </row>
    <row r="8" spans="1:18">
      <c r="A8" s="513"/>
      <c r="B8" s="513"/>
      <c r="C8" s="513"/>
      <c r="D8" s="513"/>
      <c r="E8" s="513"/>
      <c r="F8" s="513"/>
      <c r="G8" s="513"/>
      <c r="H8" s="513"/>
      <c r="I8" s="513"/>
      <c r="J8" s="513"/>
      <c r="K8" s="513"/>
      <c r="L8" s="513"/>
      <c r="M8" s="513"/>
      <c r="N8" s="513"/>
      <c r="O8" s="513"/>
      <c r="P8" s="513"/>
      <c r="Q8" s="513"/>
      <c r="R8" s="513"/>
    </row>
    <row r="9" spans="1:18">
      <c r="A9" s="516"/>
      <c r="B9" s="517"/>
      <c r="C9" s="517"/>
      <c r="D9" s="517"/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</row>
    <row r="10" spans="1:18">
      <c r="A10" s="516"/>
      <c r="B10" s="517"/>
      <c r="C10" s="517"/>
      <c r="D10" s="517"/>
      <c r="E10" s="517"/>
      <c r="F10" s="517"/>
      <c r="G10" s="517"/>
      <c r="H10" s="517"/>
      <c r="I10" s="517"/>
      <c r="J10" s="517"/>
      <c r="K10" s="517"/>
      <c r="L10" s="517"/>
      <c r="M10" s="517"/>
      <c r="N10" s="517"/>
      <c r="O10" s="517"/>
      <c r="P10" s="517"/>
      <c r="Q10" s="517"/>
      <c r="R10" s="517"/>
    </row>
    <row r="11" spans="1:18">
      <c r="A11" s="516"/>
      <c r="B11" s="517"/>
      <c r="C11" s="517"/>
      <c r="D11" s="517"/>
      <c r="E11" s="517"/>
      <c r="F11" s="517"/>
      <c r="G11" s="517"/>
      <c r="H11" s="517"/>
      <c r="I11" s="517"/>
      <c r="J11" s="517"/>
      <c r="K11" s="517"/>
      <c r="L11" s="517"/>
      <c r="M11" s="517"/>
      <c r="N11" s="517"/>
      <c r="O11" s="517"/>
      <c r="P11" s="517"/>
      <c r="Q11" s="517"/>
      <c r="R11" s="517"/>
    </row>
    <row r="12" spans="1:18">
      <c r="A12" s="516"/>
      <c r="B12" s="517"/>
      <c r="C12" s="517"/>
      <c r="D12" s="517"/>
      <c r="E12" s="517"/>
      <c r="F12" s="517"/>
      <c r="G12" s="517"/>
      <c r="H12" s="517"/>
      <c r="I12" s="517"/>
      <c r="J12" s="517"/>
      <c r="K12" s="517"/>
      <c r="L12" s="517"/>
      <c r="M12" s="517"/>
      <c r="N12" s="517"/>
      <c r="O12" s="517"/>
      <c r="P12" s="517"/>
      <c r="Q12" s="517"/>
      <c r="R12" s="517"/>
    </row>
    <row r="13" spans="1:18">
      <c r="A13" s="516"/>
      <c r="B13" s="517"/>
      <c r="C13" s="517"/>
      <c r="D13" s="517"/>
      <c r="E13" s="517"/>
      <c r="F13" s="517"/>
      <c r="G13" s="517"/>
      <c r="H13" s="517"/>
      <c r="I13" s="517"/>
      <c r="J13" s="517"/>
      <c r="K13" s="517"/>
      <c r="L13" s="517"/>
      <c r="M13" s="517"/>
      <c r="N13" s="517"/>
      <c r="O13" s="517"/>
      <c r="P13" s="517"/>
      <c r="Q13" s="517"/>
      <c r="R13" s="517"/>
    </row>
    <row r="14" spans="1:18">
      <c r="A14" s="516"/>
      <c r="B14" s="517"/>
      <c r="C14" s="517"/>
      <c r="D14" s="517"/>
      <c r="E14" s="517"/>
      <c r="F14" s="517"/>
      <c r="G14" s="517"/>
      <c r="H14" s="517"/>
      <c r="I14" s="517"/>
      <c r="J14" s="517"/>
      <c r="K14" s="517"/>
      <c r="L14" s="517"/>
      <c r="M14" s="517"/>
      <c r="N14" s="517"/>
      <c r="O14" s="517"/>
      <c r="P14" s="517"/>
      <c r="Q14" s="517"/>
      <c r="R14" s="517"/>
    </row>
    <row r="15" spans="1:18">
      <c r="A15" s="516"/>
      <c r="B15" s="517"/>
      <c r="C15" s="517"/>
      <c r="D15" s="517"/>
      <c r="E15" s="517"/>
      <c r="F15" s="517"/>
      <c r="G15" s="517"/>
      <c r="H15" s="517"/>
      <c r="I15" s="517"/>
      <c r="J15" s="517"/>
      <c r="K15" s="517"/>
      <c r="L15" s="517"/>
      <c r="M15" s="517"/>
      <c r="N15" s="517"/>
      <c r="O15" s="517"/>
      <c r="P15" s="517"/>
      <c r="Q15" s="517"/>
      <c r="R15" s="517"/>
    </row>
    <row r="16" spans="1:18">
      <c r="A16" s="516"/>
      <c r="B16" s="517"/>
      <c r="C16" s="517"/>
      <c r="D16" s="517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7"/>
      <c r="P16" s="517"/>
      <c r="Q16" s="517"/>
      <c r="R16" s="517"/>
    </row>
    <row r="17" spans="1:18">
      <c r="A17" s="516"/>
      <c r="B17" s="517"/>
      <c r="C17" s="517"/>
      <c r="D17" s="517"/>
      <c r="E17" s="517"/>
      <c r="F17" s="517"/>
      <c r="G17" s="517"/>
      <c r="H17" s="517"/>
      <c r="I17" s="517"/>
      <c r="J17" s="517"/>
      <c r="K17" s="517"/>
      <c r="L17" s="517"/>
      <c r="M17" s="517"/>
      <c r="N17" s="517"/>
      <c r="O17" s="517"/>
      <c r="P17" s="517"/>
      <c r="Q17" s="517"/>
      <c r="R17" s="517"/>
    </row>
    <row r="18" spans="1:18">
      <c r="A18" s="516"/>
      <c r="B18" s="517"/>
      <c r="C18" s="517"/>
      <c r="D18" s="517"/>
      <c r="E18" s="517"/>
      <c r="F18" s="517"/>
      <c r="G18" s="517"/>
      <c r="H18" s="517"/>
      <c r="I18" s="517"/>
      <c r="J18" s="517"/>
      <c r="K18" s="517"/>
      <c r="L18" s="517"/>
      <c r="M18" s="517"/>
      <c r="N18" s="517"/>
      <c r="O18" s="517"/>
      <c r="P18" s="517"/>
      <c r="Q18" s="517"/>
      <c r="R18" s="517"/>
    </row>
    <row r="19" spans="1:18">
      <c r="A19" s="516"/>
      <c r="B19" s="517"/>
      <c r="C19" s="517"/>
      <c r="D19" s="517"/>
      <c r="E19" s="517"/>
      <c r="F19" s="517"/>
      <c r="G19" s="517"/>
      <c r="H19" s="517"/>
      <c r="I19" s="517"/>
      <c r="J19" s="517"/>
      <c r="K19" s="517"/>
      <c r="L19" s="517"/>
      <c r="M19" s="517"/>
      <c r="N19" s="517"/>
      <c r="O19" s="517"/>
      <c r="P19" s="517"/>
      <c r="Q19" s="517"/>
      <c r="R19" s="517"/>
    </row>
    <row r="20" spans="1:18">
      <c r="A20" s="516"/>
      <c r="B20" s="517"/>
      <c r="C20" s="517"/>
      <c r="D20" s="517"/>
      <c r="E20" s="517"/>
      <c r="F20" s="517"/>
      <c r="G20" s="517"/>
      <c r="H20" s="517"/>
      <c r="I20" s="517"/>
      <c r="J20" s="517"/>
      <c r="K20" s="517"/>
      <c r="L20" s="517"/>
      <c r="M20" s="517"/>
      <c r="N20" s="517"/>
      <c r="O20" s="517"/>
      <c r="P20" s="517"/>
      <c r="Q20" s="517"/>
      <c r="R20" s="517"/>
    </row>
    <row r="21" spans="1:18">
      <c r="A21" s="516"/>
      <c r="B21" s="517"/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</row>
    <row r="22" spans="1:18">
      <c r="A22" s="516"/>
      <c r="B22" s="517"/>
      <c r="C22" s="517"/>
      <c r="D22" s="517"/>
      <c r="E22" s="517"/>
      <c r="F22" s="517"/>
      <c r="G22" s="517"/>
      <c r="H22" s="517"/>
      <c r="I22" s="517"/>
      <c r="J22" s="517"/>
      <c r="K22" s="517"/>
      <c r="L22" s="517"/>
      <c r="M22" s="517"/>
      <c r="N22" s="517"/>
      <c r="O22" s="517"/>
      <c r="P22" s="517"/>
      <c r="Q22" s="517"/>
      <c r="R22" s="517"/>
    </row>
    <row r="23" spans="1:18">
      <c r="A23" s="516"/>
      <c r="B23" s="517"/>
      <c r="C23" s="517"/>
      <c r="D23" s="517"/>
      <c r="E23" s="517"/>
      <c r="F23" s="517"/>
      <c r="G23" s="517"/>
      <c r="H23" s="517"/>
      <c r="I23" s="517"/>
      <c r="J23" s="517"/>
      <c r="K23" s="517"/>
      <c r="L23" s="517"/>
      <c r="M23" s="517"/>
      <c r="N23" s="517"/>
      <c r="O23" s="517"/>
      <c r="P23" s="517"/>
      <c r="Q23" s="517"/>
      <c r="R23" s="517"/>
    </row>
    <row r="24" spans="1:18">
      <c r="A24" s="516"/>
      <c r="B24" s="517"/>
      <c r="C24" s="517"/>
      <c r="D24" s="517"/>
      <c r="E24" s="517"/>
      <c r="F24" s="517"/>
      <c r="G24" s="517"/>
      <c r="H24" s="517"/>
      <c r="I24" s="517"/>
      <c r="J24" s="517"/>
      <c r="K24" s="517"/>
      <c r="L24" s="517"/>
      <c r="M24" s="517"/>
      <c r="N24" s="517"/>
      <c r="O24" s="517"/>
      <c r="P24" s="517"/>
      <c r="Q24" s="517"/>
      <c r="R24" s="517"/>
    </row>
    <row r="25" spans="1:18">
      <c r="A25" s="516"/>
      <c r="B25" s="517"/>
      <c r="C25" s="517"/>
      <c r="D25" s="517"/>
      <c r="E25" s="517"/>
      <c r="F25" s="517"/>
      <c r="G25" s="517"/>
      <c r="H25" s="517"/>
      <c r="I25" s="517"/>
      <c r="J25" s="517"/>
      <c r="K25" s="517"/>
      <c r="L25" s="517"/>
      <c r="M25" s="517"/>
      <c r="N25" s="517"/>
      <c r="O25" s="517"/>
      <c r="P25" s="517"/>
      <c r="Q25" s="517"/>
      <c r="R25" s="517"/>
    </row>
    <row r="26" spans="1:18">
      <c r="A26" s="516"/>
      <c r="B26" s="517"/>
      <c r="C26" s="517"/>
      <c r="D26" s="517"/>
      <c r="E26" s="517"/>
      <c r="F26" s="517"/>
      <c r="G26" s="517"/>
      <c r="H26" s="517"/>
      <c r="I26" s="517"/>
      <c r="J26" s="517"/>
      <c r="K26" s="517"/>
      <c r="L26" s="517"/>
      <c r="M26" s="517"/>
      <c r="N26" s="517"/>
      <c r="O26" s="517"/>
      <c r="P26" s="517"/>
      <c r="Q26" s="517"/>
      <c r="R26" s="517"/>
    </row>
    <row r="27" spans="1:18">
      <c r="A27" s="516"/>
      <c r="B27" s="517"/>
      <c r="C27" s="517"/>
      <c r="D27" s="517"/>
      <c r="E27" s="517"/>
      <c r="F27" s="517"/>
      <c r="G27" s="517"/>
      <c r="H27" s="517"/>
      <c r="I27" s="517"/>
      <c r="J27" s="517"/>
      <c r="K27" s="517"/>
      <c r="L27" s="517"/>
      <c r="M27" s="517"/>
      <c r="N27" s="517"/>
      <c r="O27" s="517"/>
      <c r="P27" s="517"/>
      <c r="Q27" s="517"/>
      <c r="R27" s="517"/>
    </row>
    <row r="28" spans="1:18">
      <c r="A28" s="516"/>
      <c r="B28" s="517"/>
      <c r="C28" s="517"/>
      <c r="D28" s="517"/>
      <c r="E28" s="517"/>
      <c r="F28" s="517"/>
      <c r="G28" s="517"/>
      <c r="H28" s="517"/>
      <c r="I28" s="517"/>
      <c r="J28" s="517"/>
      <c r="K28" s="517"/>
      <c r="L28" s="517"/>
      <c r="M28" s="517"/>
      <c r="N28" s="517"/>
      <c r="O28" s="517"/>
      <c r="P28" s="517"/>
      <c r="Q28" s="517"/>
      <c r="R28" s="517"/>
    </row>
    <row r="29" spans="1:18">
      <c r="A29" s="516"/>
      <c r="B29" s="517"/>
      <c r="C29" s="517"/>
      <c r="D29" s="517"/>
      <c r="E29" s="517"/>
      <c r="F29" s="517"/>
      <c r="G29" s="517"/>
      <c r="H29" s="517"/>
      <c r="I29" s="517"/>
      <c r="J29" s="517"/>
      <c r="K29" s="517"/>
      <c r="L29" s="517"/>
      <c r="M29" s="517"/>
      <c r="N29" s="517"/>
      <c r="O29" s="517"/>
      <c r="P29" s="517"/>
      <c r="Q29" s="517"/>
      <c r="R29" s="517"/>
    </row>
    <row r="30" spans="1:18">
      <c r="A30" s="516"/>
      <c r="B30" s="517"/>
      <c r="C30" s="517"/>
      <c r="D30" s="517"/>
      <c r="E30" s="517"/>
      <c r="F30" s="517"/>
      <c r="G30" s="517"/>
      <c r="H30" s="517"/>
      <c r="I30" s="517"/>
      <c r="J30" s="517"/>
      <c r="K30" s="517"/>
      <c r="L30" s="517"/>
      <c r="M30" s="517"/>
      <c r="N30" s="517"/>
      <c r="O30" s="517"/>
      <c r="P30" s="517"/>
      <c r="Q30" s="517"/>
      <c r="R30" s="517"/>
    </row>
    <row r="31" spans="1:18">
      <c r="A31" s="516"/>
      <c r="B31" s="517"/>
      <c r="C31" s="517"/>
      <c r="D31" s="517"/>
      <c r="E31" s="517"/>
      <c r="F31" s="517"/>
      <c r="G31" s="517"/>
      <c r="H31" s="517"/>
      <c r="I31" s="517"/>
      <c r="J31" s="517"/>
      <c r="K31" s="517"/>
      <c r="L31" s="517"/>
      <c r="M31" s="517"/>
      <c r="N31" s="517"/>
      <c r="O31" s="517"/>
      <c r="P31" s="517"/>
      <c r="Q31" s="517"/>
      <c r="R31" s="517"/>
    </row>
    <row r="32" spans="1:18">
      <c r="A32" s="516"/>
      <c r="B32" s="517"/>
      <c r="C32" s="517"/>
      <c r="D32" s="517"/>
      <c r="E32" s="517"/>
      <c r="F32" s="517"/>
      <c r="G32" s="517"/>
      <c r="H32" s="517"/>
      <c r="I32" s="517"/>
      <c r="J32" s="517"/>
      <c r="K32" s="517"/>
      <c r="L32" s="517"/>
      <c r="M32" s="517"/>
      <c r="N32" s="517"/>
      <c r="O32" s="517"/>
      <c r="P32" s="517"/>
      <c r="Q32" s="517"/>
      <c r="R32" s="517"/>
    </row>
    <row r="33" spans="1:18">
      <c r="A33" s="516"/>
      <c r="B33" s="517"/>
      <c r="C33" s="517"/>
      <c r="D33" s="517"/>
      <c r="E33" s="517"/>
      <c r="F33" s="517"/>
      <c r="G33" s="517"/>
      <c r="H33" s="517"/>
      <c r="I33" s="517"/>
      <c r="J33" s="517"/>
      <c r="K33" s="517"/>
      <c r="L33" s="517"/>
      <c r="M33" s="517"/>
      <c r="N33" s="517"/>
      <c r="O33" s="517"/>
      <c r="P33" s="517"/>
      <c r="Q33" s="517"/>
      <c r="R33" s="517"/>
    </row>
    <row r="34" spans="1:18">
      <c r="A34" s="516"/>
      <c r="B34" s="517"/>
      <c r="C34" s="517"/>
      <c r="D34" s="517"/>
      <c r="E34" s="517"/>
      <c r="F34" s="517"/>
      <c r="G34" s="517"/>
      <c r="H34" s="517"/>
      <c r="I34" s="517"/>
      <c r="J34" s="517"/>
      <c r="K34" s="517"/>
      <c r="L34" s="517"/>
      <c r="M34" s="517"/>
      <c r="N34" s="517"/>
      <c r="O34" s="517"/>
      <c r="P34" s="517"/>
      <c r="Q34" s="517"/>
      <c r="R34" s="517"/>
    </row>
    <row r="35" spans="1:18">
      <c r="A35" s="516"/>
      <c r="B35" s="517"/>
      <c r="C35" s="517"/>
      <c r="D35" s="517"/>
      <c r="E35" s="517"/>
      <c r="F35" s="517"/>
      <c r="G35" s="517"/>
      <c r="H35" s="517"/>
      <c r="I35" s="517"/>
      <c r="J35" s="517"/>
      <c r="K35" s="517"/>
      <c r="L35" s="517"/>
      <c r="M35" s="517"/>
      <c r="N35" s="517"/>
      <c r="O35" s="517"/>
      <c r="P35" s="517"/>
      <c r="Q35" s="517"/>
      <c r="R35" s="517"/>
    </row>
    <row r="36" spans="1:18">
      <c r="A36" s="516"/>
      <c r="B36" s="517"/>
      <c r="C36" s="517"/>
      <c r="D36" s="517"/>
      <c r="E36" s="517"/>
      <c r="F36" s="517"/>
      <c r="G36" s="517"/>
      <c r="H36" s="517"/>
      <c r="I36" s="517"/>
      <c r="J36" s="517"/>
      <c r="K36" s="517"/>
      <c r="L36" s="517"/>
      <c r="M36" s="517"/>
      <c r="N36" s="517"/>
      <c r="O36" s="517"/>
      <c r="P36" s="517"/>
      <c r="Q36" s="517"/>
      <c r="R36" s="517"/>
    </row>
    <row r="37" spans="1:18">
      <c r="A37" s="516"/>
      <c r="B37" s="517"/>
      <c r="C37" s="517"/>
      <c r="D37" s="517"/>
      <c r="E37" s="517"/>
      <c r="F37" s="517"/>
      <c r="G37" s="517"/>
      <c r="H37" s="517"/>
      <c r="I37" s="517"/>
      <c r="J37" s="517"/>
      <c r="K37" s="517"/>
      <c r="L37" s="517"/>
      <c r="M37" s="517"/>
      <c r="N37" s="517"/>
      <c r="O37" s="517"/>
      <c r="P37" s="517"/>
      <c r="Q37" s="517"/>
      <c r="R37" s="517"/>
    </row>
    <row r="38" spans="1:18">
      <c r="A38" s="516"/>
      <c r="B38" s="517"/>
      <c r="C38" s="517"/>
      <c r="D38" s="517"/>
      <c r="E38" s="517"/>
      <c r="F38" s="517"/>
      <c r="G38" s="517"/>
      <c r="H38" s="517"/>
      <c r="I38" s="517"/>
      <c r="J38" s="517"/>
      <c r="K38" s="517"/>
      <c r="L38" s="517"/>
      <c r="M38" s="517"/>
      <c r="N38" s="517"/>
      <c r="O38" s="517"/>
      <c r="P38" s="517"/>
      <c r="Q38" s="517"/>
      <c r="R38" s="517"/>
    </row>
    <row r="39" spans="1:18">
      <c r="A39" s="516"/>
      <c r="B39" s="517"/>
      <c r="C39" s="517"/>
      <c r="D39" s="517"/>
      <c r="E39" s="517"/>
      <c r="F39" s="517"/>
      <c r="G39" s="517"/>
      <c r="H39" s="517"/>
      <c r="I39" s="517"/>
      <c r="J39" s="517"/>
      <c r="K39" s="517"/>
      <c r="L39" s="517"/>
      <c r="M39" s="517"/>
      <c r="N39" s="517"/>
      <c r="O39" s="517"/>
      <c r="P39" s="517"/>
      <c r="Q39" s="517"/>
      <c r="R39" s="517"/>
    </row>
    <row r="40" spans="1:18">
      <c r="A40" s="516"/>
      <c r="B40" s="517"/>
      <c r="C40" s="517"/>
      <c r="D40" s="517"/>
      <c r="E40" s="517"/>
      <c r="F40" s="517"/>
      <c r="G40" s="517"/>
      <c r="H40" s="517"/>
      <c r="I40" s="517"/>
      <c r="J40" s="517"/>
      <c r="K40" s="517"/>
      <c r="L40" s="517"/>
      <c r="M40" s="517"/>
      <c r="N40" s="517"/>
      <c r="O40" s="517"/>
      <c r="P40" s="517"/>
      <c r="Q40" s="517"/>
      <c r="R40" s="517"/>
    </row>
    <row r="41" spans="1:18">
      <c r="A41" s="516"/>
      <c r="B41" s="517"/>
      <c r="C41" s="517"/>
      <c r="D41" s="517"/>
      <c r="E41" s="517"/>
      <c r="F41" s="517"/>
      <c r="G41" s="517"/>
      <c r="H41" s="517"/>
      <c r="I41" s="517"/>
      <c r="J41" s="517"/>
      <c r="K41" s="517"/>
      <c r="L41" s="517"/>
      <c r="M41" s="517"/>
      <c r="N41" s="517"/>
      <c r="O41" s="517"/>
      <c r="P41" s="517"/>
      <c r="Q41" s="517"/>
      <c r="R41" s="517"/>
    </row>
    <row r="42" spans="1:18">
      <c r="A42" s="516"/>
      <c r="B42" s="517"/>
      <c r="C42" s="517"/>
      <c r="D42" s="517"/>
      <c r="E42" s="517"/>
      <c r="F42" s="517"/>
      <c r="G42" s="517"/>
      <c r="H42" s="517"/>
      <c r="I42" s="517"/>
      <c r="J42" s="517"/>
      <c r="K42" s="517"/>
      <c r="L42" s="517"/>
      <c r="M42" s="517"/>
      <c r="N42" s="517"/>
      <c r="O42" s="517"/>
      <c r="P42" s="517"/>
      <c r="Q42" s="517"/>
      <c r="R42" s="517"/>
    </row>
    <row r="43" spans="1:18">
      <c r="A43" s="516"/>
      <c r="B43" s="517"/>
      <c r="C43" s="517"/>
      <c r="D43" s="517"/>
      <c r="E43" s="517"/>
      <c r="F43" s="517"/>
      <c r="G43" s="517"/>
      <c r="H43" s="517"/>
      <c r="I43" s="517"/>
      <c r="J43" s="517"/>
      <c r="K43" s="517"/>
      <c r="L43" s="517"/>
      <c r="M43" s="517"/>
      <c r="N43" s="517"/>
      <c r="O43" s="517"/>
      <c r="P43" s="517"/>
      <c r="Q43" s="517"/>
      <c r="R43" s="517"/>
    </row>
    <row r="44" spans="1:18">
      <c r="A44" s="516"/>
      <c r="B44" s="517"/>
      <c r="C44" s="517"/>
      <c r="D44" s="517"/>
      <c r="E44" s="517"/>
      <c r="F44" s="517"/>
      <c r="G44" s="517"/>
      <c r="H44" s="517"/>
      <c r="I44" s="517"/>
      <c r="J44" s="517"/>
      <c r="K44" s="517"/>
      <c r="L44" s="517"/>
      <c r="M44" s="517"/>
      <c r="N44" s="517"/>
      <c r="O44" s="517"/>
      <c r="P44" s="517"/>
      <c r="Q44" s="517"/>
      <c r="R44" s="517"/>
    </row>
    <row r="45" spans="1:18">
      <c r="A45" s="516"/>
      <c r="B45" s="517"/>
      <c r="C45" s="517"/>
      <c r="D45" s="517"/>
      <c r="E45" s="517"/>
      <c r="F45" s="517"/>
      <c r="G45" s="517"/>
      <c r="H45" s="517"/>
      <c r="I45" s="517"/>
      <c r="J45" s="517"/>
      <c r="K45" s="517"/>
      <c r="L45" s="517"/>
      <c r="M45" s="517"/>
      <c r="N45" s="517"/>
      <c r="O45" s="517"/>
      <c r="P45" s="517"/>
      <c r="Q45" s="517"/>
      <c r="R45" s="517"/>
    </row>
    <row r="46" spans="1:18">
      <c r="A46" s="516"/>
      <c r="B46" s="517"/>
      <c r="C46" s="517"/>
      <c r="D46" s="517"/>
      <c r="E46" s="517"/>
      <c r="F46" s="517"/>
      <c r="G46" s="517"/>
      <c r="H46" s="517"/>
      <c r="I46" s="517"/>
      <c r="J46" s="517"/>
      <c r="K46" s="517"/>
      <c r="L46" s="517"/>
      <c r="M46" s="517"/>
      <c r="N46" s="517"/>
      <c r="O46" s="517"/>
      <c r="P46" s="517"/>
      <c r="Q46" s="517"/>
      <c r="R46" s="517"/>
    </row>
    <row r="47" spans="1:18">
      <c r="A47" s="516"/>
      <c r="B47" s="517"/>
      <c r="C47" s="517"/>
      <c r="D47" s="517"/>
      <c r="E47" s="517"/>
      <c r="F47" s="517"/>
      <c r="G47" s="517"/>
      <c r="H47" s="517"/>
      <c r="I47" s="517"/>
      <c r="J47" s="517"/>
      <c r="K47" s="517"/>
      <c r="L47" s="517"/>
      <c r="M47" s="517"/>
      <c r="N47" s="517"/>
      <c r="O47" s="517"/>
      <c r="P47" s="517"/>
      <c r="Q47" s="517"/>
      <c r="R47" s="517"/>
    </row>
    <row r="48" spans="1:18">
      <c r="A48" s="516"/>
      <c r="B48" s="517"/>
      <c r="C48" s="517"/>
      <c r="D48" s="517"/>
      <c r="E48" s="517"/>
      <c r="F48" s="517"/>
      <c r="G48" s="517"/>
      <c r="H48" s="517"/>
      <c r="I48" s="517"/>
      <c r="J48" s="517"/>
      <c r="K48" s="517"/>
      <c r="L48" s="517"/>
      <c r="M48" s="517"/>
      <c r="N48" s="517"/>
      <c r="O48" s="517"/>
      <c r="P48" s="517"/>
      <c r="Q48" s="517"/>
      <c r="R48" s="517"/>
    </row>
    <row r="49" spans="1:18">
      <c r="A49" s="516"/>
      <c r="B49" s="517"/>
      <c r="C49" s="517"/>
      <c r="D49" s="517"/>
      <c r="E49" s="517"/>
      <c r="F49" s="517"/>
      <c r="G49" s="517"/>
      <c r="H49" s="517"/>
      <c r="I49" s="517"/>
      <c r="J49" s="517"/>
      <c r="K49" s="517"/>
      <c r="L49" s="517"/>
      <c r="M49" s="517"/>
      <c r="N49" s="517"/>
      <c r="O49" s="517"/>
      <c r="P49" s="517"/>
      <c r="Q49" s="517"/>
      <c r="R49" s="517"/>
    </row>
    <row r="50" spans="1:18">
      <c r="A50" s="516"/>
      <c r="B50" s="517"/>
      <c r="C50" s="517"/>
      <c r="D50" s="517"/>
      <c r="E50" s="517"/>
      <c r="F50" s="517"/>
      <c r="G50" s="517"/>
      <c r="H50" s="517"/>
      <c r="I50" s="517"/>
      <c r="J50" s="517"/>
      <c r="K50" s="517"/>
      <c r="L50" s="517"/>
      <c r="M50" s="517"/>
      <c r="N50" s="517"/>
      <c r="O50" s="517"/>
      <c r="P50" s="517"/>
      <c r="Q50" s="517"/>
      <c r="R50" s="517"/>
    </row>
    <row r="51" spans="1:18">
      <c r="A51" s="516"/>
      <c r="B51" s="517"/>
      <c r="C51" s="517"/>
      <c r="D51" s="517"/>
      <c r="E51" s="517"/>
      <c r="F51" s="517"/>
      <c r="G51" s="517"/>
      <c r="H51" s="517"/>
      <c r="I51" s="517"/>
      <c r="J51" s="517"/>
      <c r="K51" s="517"/>
      <c r="L51" s="517"/>
      <c r="M51" s="517"/>
      <c r="N51" s="517"/>
      <c r="O51" s="517"/>
      <c r="P51" s="517"/>
      <c r="Q51" s="517"/>
      <c r="R51" s="517"/>
    </row>
    <row r="52" spans="1:18">
      <c r="A52" s="516"/>
      <c r="B52" s="517"/>
      <c r="C52" s="517"/>
      <c r="D52" s="517"/>
      <c r="E52" s="517"/>
      <c r="F52" s="517"/>
      <c r="G52" s="517"/>
      <c r="H52" s="517"/>
      <c r="I52" s="517"/>
      <c r="J52" s="517"/>
      <c r="K52" s="517"/>
      <c r="L52" s="517"/>
      <c r="M52" s="517"/>
      <c r="N52" s="517"/>
      <c r="O52" s="517"/>
      <c r="P52" s="517"/>
      <c r="Q52" s="517"/>
      <c r="R52" s="517"/>
    </row>
    <row r="53" spans="1:18">
      <c r="A53" s="516"/>
      <c r="B53" s="517"/>
      <c r="C53" s="517"/>
      <c r="D53" s="517"/>
      <c r="E53" s="517"/>
      <c r="F53" s="517"/>
      <c r="G53" s="517"/>
      <c r="H53" s="517"/>
      <c r="I53" s="517"/>
      <c r="J53" s="517"/>
      <c r="K53" s="517"/>
      <c r="L53" s="517"/>
      <c r="M53" s="517"/>
      <c r="N53" s="517"/>
      <c r="O53" s="517"/>
      <c r="P53" s="517"/>
      <c r="Q53" s="517"/>
      <c r="R53" s="517"/>
    </row>
    <row r="54" spans="1:18">
      <c r="A54" s="516"/>
      <c r="B54" s="517"/>
      <c r="C54" s="517"/>
      <c r="D54" s="517"/>
      <c r="E54" s="517"/>
      <c r="F54" s="517"/>
      <c r="G54" s="517"/>
      <c r="H54" s="517"/>
      <c r="I54" s="517"/>
      <c r="J54" s="517"/>
      <c r="K54" s="517"/>
      <c r="L54" s="517"/>
      <c r="M54" s="517"/>
      <c r="N54" s="517"/>
      <c r="O54" s="517"/>
      <c r="P54" s="517"/>
      <c r="Q54" s="517"/>
      <c r="R54" s="517"/>
    </row>
    <row r="55" spans="1:18">
      <c r="A55" s="516"/>
      <c r="B55" s="517"/>
      <c r="C55" s="517"/>
      <c r="D55" s="517"/>
      <c r="E55" s="517"/>
      <c r="F55" s="517"/>
      <c r="G55" s="517"/>
      <c r="H55" s="517"/>
      <c r="I55" s="517"/>
      <c r="J55" s="517"/>
      <c r="K55" s="517"/>
      <c r="L55" s="517"/>
      <c r="M55" s="517"/>
      <c r="N55" s="517"/>
      <c r="O55" s="517"/>
      <c r="P55" s="517"/>
      <c r="Q55" s="517"/>
      <c r="R55" s="517"/>
    </row>
    <row r="56" spans="1:18">
      <c r="A56" s="516"/>
      <c r="B56" s="517"/>
      <c r="C56" s="517"/>
      <c r="D56" s="517"/>
      <c r="E56" s="517"/>
      <c r="F56" s="517"/>
      <c r="G56" s="517"/>
      <c r="H56" s="517"/>
      <c r="I56" s="517"/>
      <c r="J56" s="517"/>
      <c r="K56" s="517"/>
      <c r="L56" s="517"/>
      <c r="M56" s="517"/>
      <c r="N56" s="517"/>
      <c r="O56" s="517"/>
      <c r="P56" s="517"/>
      <c r="Q56" s="517"/>
      <c r="R56" s="517"/>
    </row>
    <row r="57" spans="1:18">
      <c r="A57" s="516"/>
      <c r="B57" s="517"/>
      <c r="C57" s="517"/>
      <c r="D57" s="517"/>
      <c r="E57" s="517"/>
      <c r="F57" s="517"/>
      <c r="G57" s="517"/>
      <c r="H57" s="517"/>
      <c r="I57" s="517"/>
      <c r="J57" s="517"/>
      <c r="K57" s="517"/>
      <c r="L57" s="517"/>
      <c r="M57" s="517"/>
      <c r="N57" s="517"/>
      <c r="O57" s="517"/>
      <c r="P57" s="517"/>
      <c r="Q57" s="517"/>
      <c r="R57" s="517"/>
    </row>
    <row r="58" spans="1:18">
      <c r="A58" s="516"/>
      <c r="B58" s="517"/>
      <c r="C58" s="517"/>
      <c r="D58" s="517"/>
      <c r="E58" s="517"/>
      <c r="F58" s="517"/>
      <c r="G58" s="517"/>
      <c r="H58" s="517"/>
      <c r="I58" s="517"/>
      <c r="J58" s="517"/>
      <c r="K58" s="517"/>
      <c r="L58" s="517"/>
      <c r="M58" s="517"/>
      <c r="N58" s="517"/>
      <c r="O58" s="517"/>
      <c r="P58" s="517"/>
      <c r="Q58" s="517"/>
      <c r="R58" s="517"/>
    </row>
    <row r="59" spans="1:18">
      <c r="A59" s="516"/>
      <c r="B59" s="517"/>
      <c r="C59" s="517"/>
      <c r="D59" s="517"/>
      <c r="E59" s="517"/>
      <c r="F59" s="517"/>
      <c r="G59" s="517"/>
      <c r="H59" s="517"/>
      <c r="I59" s="517"/>
      <c r="J59" s="517"/>
      <c r="K59" s="517"/>
      <c r="L59" s="517"/>
      <c r="M59" s="517"/>
      <c r="N59" s="517"/>
      <c r="O59" s="517"/>
      <c r="P59" s="517"/>
      <c r="Q59" s="517"/>
      <c r="R59" s="517"/>
    </row>
    <row r="60" spans="1:18">
      <c r="A60" s="518"/>
      <c r="B60" s="519"/>
      <c r="C60" s="520"/>
      <c r="D60" s="520"/>
      <c r="E60" s="520"/>
      <c r="F60" s="520"/>
      <c r="G60" s="520"/>
      <c r="H60" s="520"/>
      <c r="I60" s="520"/>
      <c r="J60" s="520"/>
      <c r="K60" s="520"/>
      <c r="L60" s="520"/>
      <c r="M60" s="520"/>
      <c r="N60" s="520"/>
      <c r="O60" s="520"/>
      <c r="P60" s="520"/>
      <c r="Q60" s="520"/>
      <c r="R60" s="520"/>
    </row>
    <row r="61" spans="1:18" ht="409.6" hidden="1" customHeight="1"/>
  </sheetData>
  <mergeCells count="11">
    <mergeCell ref="Q6:R6"/>
    <mergeCell ref="A1:R1"/>
    <mergeCell ref="A3:R3"/>
    <mergeCell ref="C5:R5"/>
    <mergeCell ref="C6:D6"/>
    <mergeCell ref="E6:F6"/>
    <mergeCell ref="G6:H6"/>
    <mergeCell ref="I6:J6"/>
    <mergeCell ref="K6:L6"/>
    <mergeCell ref="M6:N6"/>
    <mergeCell ref="O6:P6"/>
  </mergeCells>
  <pageMargins left="0.7" right="0.7" top="0.25" bottom="0.25" header="0.3" footer="0.3"/>
  <pageSetup paperSize="9" scale="67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view="pageBreakPreview" zoomScale="60" zoomScaleNormal="100" workbookViewId="0">
      <selection activeCell="S7" sqref="S7"/>
    </sheetView>
  </sheetViews>
  <sheetFormatPr defaultRowHeight="12.75"/>
  <sheetData>
    <row r="1" spans="1:11" s="334" customFormat="1" ht="31.5" customHeight="1">
      <c r="A1" s="719" t="s">
        <v>467</v>
      </c>
      <c r="B1" s="719"/>
      <c r="C1" s="719"/>
      <c r="D1" s="719"/>
      <c r="E1" s="719"/>
      <c r="F1" s="719"/>
      <c r="G1" s="719"/>
      <c r="H1" s="719"/>
      <c r="I1" s="719"/>
      <c r="J1" s="719" t="s">
        <v>466</v>
      </c>
      <c r="K1" s="719"/>
    </row>
  </sheetData>
  <mergeCells count="2">
    <mergeCell ref="A1:I1"/>
    <mergeCell ref="J1:K1"/>
  </mergeCell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view="pageBreakPreview" zoomScale="60" zoomScaleNormal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G12" sqref="G12"/>
    </sheetView>
  </sheetViews>
  <sheetFormatPr defaultRowHeight="15"/>
  <cols>
    <col min="1" max="1" width="5.140625" style="328" customWidth="1"/>
    <col min="2" max="2" width="27.28515625" style="328" customWidth="1"/>
    <col min="3" max="3" width="13.140625" style="328" bestFit="1" customWidth="1"/>
    <col min="4" max="4" width="17.28515625" style="328" customWidth="1"/>
    <col min="5" max="5" width="13.85546875" style="332" customWidth="1"/>
    <col min="6" max="253" width="9.140625" style="328"/>
    <col min="254" max="254" width="7.7109375" style="328" bestFit="1" customWidth="1"/>
    <col min="255" max="255" width="43.28515625" style="328" customWidth="1"/>
    <col min="256" max="256" width="0" style="328" hidden="1" customWidth="1"/>
    <col min="257" max="257" width="13.140625" style="328" bestFit="1" customWidth="1"/>
    <col min="258" max="258" width="18" style="328" customWidth="1"/>
    <col min="259" max="259" width="16.140625" style="328" customWidth="1"/>
    <col min="260" max="260" width="17.28515625" style="328" customWidth="1"/>
    <col min="261" max="261" width="13.85546875" style="328" customWidth="1"/>
    <col min="262" max="509" width="9.140625" style="328"/>
    <col min="510" max="510" width="7.7109375" style="328" bestFit="1" customWidth="1"/>
    <col min="511" max="511" width="43.28515625" style="328" customWidth="1"/>
    <col min="512" max="512" width="0" style="328" hidden="1" customWidth="1"/>
    <col min="513" max="513" width="13.140625" style="328" bestFit="1" customWidth="1"/>
    <col min="514" max="514" width="18" style="328" customWidth="1"/>
    <col min="515" max="515" width="16.140625" style="328" customWidth="1"/>
    <col min="516" max="516" width="17.28515625" style="328" customWidth="1"/>
    <col min="517" max="517" width="13.85546875" style="328" customWidth="1"/>
    <col min="518" max="765" width="9.140625" style="328"/>
    <col min="766" max="766" width="7.7109375" style="328" bestFit="1" customWidth="1"/>
    <col min="767" max="767" width="43.28515625" style="328" customWidth="1"/>
    <col min="768" max="768" width="0" style="328" hidden="1" customWidth="1"/>
    <col min="769" max="769" width="13.140625" style="328" bestFit="1" customWidth="1"/>
    <col min="770" max="770" width="18" style="328" customWidth="1"/>
    <col min="771" max="771" width="16.140625" style="328" customWidth="1"/>
    <col min="772" max="772" width="17.28515625" style="328" customWidth="1"/>
    <col min="773" max="773" width="13.85546875" style="328" customWidth="1"/>
    <col min="774" max="1021" width="9.140625" style="328"/>
    <col min="1022" max="1022" width="7.7109375" style="328" bestFit="1" customWidth="1"/>
    <col min="1023" max="1023" width="43.28515625" style="328" customWidth="1"/>
    <col min="1024" max="1024" width="0" style="328" hidden="1" customWidth="1"/>
    <col min="1025" max="1025" width="13.140625" style="328" bestFit="1" customWidth="1"/>
    <col min="1026" max="1026" width="18" style="328" customWidth="1"/>
    <col min="1027" max="1027" width="16.140625" style="328" customWidth="1"/>
    <col min="1028" max="1028" width="17.28515625" style="328" customWidth="1"/>
    <col min="1029" max="1029" width="13.85546875" style="328" customWidth="1"/>
    <col min="1030" max="1277" width="9.140625" style="328"/>
    <col min="1278" max="1278" width="7.7109375" style="328" bestFit="1" customWidth="1"/>
    <col min="1279" max="1279" width="43.28515625" style="328" customWidth="1"/>
    <col min="1280" max="1280" width="0" style="328" hidden="1" customWidth="1"/>
    <col min="1281" max="1281" width="13.140625" style="328" bestFit="1" customWidth="1"/>
    <col min="1282" max="1282" width="18" style="328" customWidth="1"/>
    <col min="1283" max="1283" width="16.140625" style="328" customWidth="1"/>
    <col min="1284" max="1284" width="17.28515625" style="328" customWidth="1"/>
    <col min="1285" max="1285" width="13.85546875" style="328" customWidth="1"/>
    <col min="1286" max="1533" width="9.140625" style="328"/>
    <col min="1534" max="1534" width="7.7109375" style="328" bestFit="1" customWidth="1"/>
    <col min="1535" max="1535" width="43.28515625" style="328" customWidth="1"/>
    <col min="1536" max="1536" width="0" style="328" hidden="1" customWidth="1"/>
    <col min="1537" max="1537" width="13.140625" style="328" bestFit="1" customWidth="1"/>
    <col min="1538" max="1538" width="18" style="328" customWidth="1"/>
    <col min="1539" max="1539" width="16.140625" style="328" customWidth="1"/>
    <col min="1540" max="1540" width="17.28515625" style="328" customWidth="1"/>
    <col min="1541" max="1541" width="13.85546875" style="328" customWidth="1"/>
    <col min="1542" max="1789" width="9.140625" style="328"/>
    <col min="1790" max="1790" width="7.7109375" style="328" bestFit="1" customWidth="1"/>
    <col min="1791" max="1791" width="43.28515625" style="328" customWidth="1"/>
    <col min="1792" max="1792" width="0" style="328" hidden="1" customWidth="1"/>
    <col min="1793" max="1793" width="13.140625" style="328" bestFit="1" customWidth="1"/>
    <col min="1794" max="1794" width="18" style="328" customWidth="1"/>
    <col min="1795" max="1795" width="16.140625" style="328" customWidth="1"/>
    <col min="1796" max="1796" width="17.28515625" style="328" customWidth="1"/>
    <col min="1797" max="1797" width="13.85546875" style="328" customWidth="1"/>
    <col min="1798" max="2045" width="9.140625" style="328"/>
    <col min="2046" max="2046" width="7.7109375" style="328" bestFit="1" customWidth="1"/>
    <col min="2047" max="2047" width="43.28515625" style="328" customWidth="1"/>
    <col min="2048" max="2048" width="0" style="328" hidden="1" customWidth="1"/>
    <col min="2049" max="2049" width="13.140625" style="328" bestFit="1" customWidth="1"/>
    <col min="2050" max="2050" width="18" style="328" customWidth="1"/>
    <col min="2051" max="2051" width="16.140625" style="328" customWidth="1"/>
    <col min="2052" max="2052" width="17.28515625" style="328" customWidth="1"/>
    <col min="2053" max="2053" width="13.85546875" style="328" customWidth="1"/>
    <col min="2054" max="2301" width="9.140625" style="328"/>
    <col min="2302" max="2302" width="7.7109375" style="328" bestFit="1" customWidth="1"/>
    <col min="2303" max="2303" width="43.28515625" style="328" customWidth="1"/>
    <col min="2304" max="2304" width="0" style="328" hidden="1" customWidth="1"/>
    <col min="2305" max="2305" width="13.140625" style="328" bestFit="1" customWidth="1"/>
    <col min="2306" max="2306" width="18" style="328" customWidth="1"/>
    <col min="2307" max="2307" width="16.140625" style="328" customWidth="1"/>
    <col min="2308" max="2308" width="17.28515625" style="328" customWidth="1"/>
    <col min="2309" max="2309" width="13.85546875" style="328" customWidth="1"/>
    <col min="2310" max="2557" width="9.140625" style="328"/>
    <col min="2558" max="2558" width="7.7109375" style="328" bestFit="1" customWidth="1"/>
    <col min="2559" max="2559" width="43.28515625" style="328" customWidth="1"/>
    <col min="2560" max="2560" width="0" style="328" hidden="1" customWidth="1"/>
    <col min="2561" max="2561" width="13.140625" style="328" bestFit="1" customWidth="1"/>
    <col min="2562" max="2562" width="18" style="328" customWidth="1"/>
    <col min="2563" max="2563" width="16.140625" style="328" customWidth="1"/>
    <col min="2564" max="2564" width="17.28515625" style="328" customWidth="1"/>
    <col min="2565" max="2565" width="13.85546875" style="328" customWidth="1"/>
    <col min="2566" max="2813" width="9.140625" style="328"/>
    <col min="2814" max="2814" width="7.7109375" style="328" bestFit="1" customWidth="1"/>
    <col min="2815" max="2815" width="43.28515625" style="328" customWidth="1"/>
    <col min="2816" max="2816" width="0" style="328" hidden="1" customWidth="1"/>
    <col min="2817" max="2817" width="13.140625" style="328" bestFit="1" customWidth="1"/>
    <col min="2818" max="2818" width="18" style="328" customWidth="1"/>
    <col min="2819" max="2819" width="16.140625" style="328" customWidth="1"/>
    <col min="2820" max="2820" width="17.28515625" style="328" customWidth="1"/>
    <col min="2821" max="2821" width="13.85546875" style="328" customWidth="1"/>
    <col min="2822" max="3069" width="9.140625" style="328"/>
    <col min="3070" max="3070" width="7.7109375" style="328" bestFit="1" customWidth="1"/>
    <col min="3071" max="3071" width="43.28515625" style="328" customWidth="1"/>
    <col min="3072" max="3072" width="0" style="328" hidden="1" customWidth="1"/>
    <col min="3073" max="3073" width="13.140625" style="328" bestFit="1" customWidth="1"/>
    <col min="3074" max="3074" width="18" style="328" customWidth="1"/>
    <col min="3075" max="3075" width="16.140625" style="328" customWidth="1"/>
    <col min="3076" max="3076" width="17.28515625" style="328" customWidth="1"/>
    <col min="3077" max="3077" width="13.85546875" style="328" customWidth="1"/>
    <col min="3078" max="3325" width="9.140625" style="328"/>
    <col min="3326" max="3326" width="7.7109375" style="328" bestFit="1" customWidth="1"/>
    <col min="3327" max="3327" width="43.28515625" style="328" customWidth="1"/>
    <col min="3328" max="3328" width="0" style="328" hidden="1" customWidth="1"/>
    <col min="3329" max="3329" width="13.140625" style="328" bestFit="1" customWidth="1"/>
    <col min="3330" max="3330" width="18" style="328" customWidth="1"/>
    <col min="3331" max="3331" width="16.140625" style="328" customWidth="1"/>
    <col min="3332" max="3332" width="17.28515625" style="328" customWidth="1"/>
    <col min="3333" max="3333" width="13.85546875" style="328" customWidth="1"/>
    <col min="3334" max="3581" width="9.140625" style="328"/>
    <col min="3582" max="3582" width="7.7109375" style="328" bestFit="1" customWidth="1"/>
    <col min="3583" max="3583" width="43.28515625" style="328" customWidth="1"/>
    <col min="3584" max="3584" width="0" style="328" hidden="1" customWidth="1"/>
    <col min="3585" max="3585" width="13.140625" style="328" bestFit="1" customWidth="1"/>
    <col min="3586" max="3586" width="18" style="328" customWidth="1"/>
    <col min="3587" max="3587" width="16.140625" style="328" customWidth="1"/>
    <col min="3588" max="3588" width="17.28515625" style="328" customWidth="1"/>
    <col min="3589" max="3589" width="13.85546875" style="328" customWidth="1"/>
    <col min="3590" max="3837" width="9.140625" style="328"/>
    <col min="3838" max="3838" width="7.7109375" style="328" bestFit="1" customWidth="1"/>
    <col min="3839" max="3839" width="43.28515625" style="328" customWidth="1"/>
    <col min="3840" max="3840" width="0" style="328" hidden="1" customWidth="1"/>
    <col min="3841" max="3841" width="13.140625" style="328" bestFit="1" customWidth="1"/>
    <col min="3842" max="3842" width="18" style="328" customWidth="1"/>
    <col min="3843" max="3843" width="16.140625" style="328" customWidth="1"/>
    <col min="3844" max="3844" width="17.28515625" style="328" customWidth="1"/>
    <col min="3845" max="3845" width="13.85546875" style="328" customWidth="1"/>
    <col min="3846" max="4093" width="9.140625" style="328"/>
    <col min="4094" max="4094" width="7.7109375" style="328" bestFit="1" customWidth="1"/>
    <col min="4095" max="4095" width="43.28515625" style="328" customWidth="1"/>
    <col min="4096" max="4096" width="0" style="328" hidden="1" customWidth="1"/>
    <col min="4097" max="4097" width="13.140625" style="328" bestFit="1" customWidth="1"/>
    <col min="4098" max="4098" width="18" style="328" customWidth="1"/>
    <col min="4099" max="4099" width="16.140625" style="328" customWidth="1"/>
    <col min="4100" max="4100" width="17.28515625" style="328" customWidth="1"/>
    <col min="4101" max="4101" width="13.85546875" style="328" customWidth="1"/>
    <col min="4102" max="4349" width="9.140625" style="328"/>
    <col min="4350" max="4350" width="7.7109375" style="328" bestFit="1" customWidth="1"/>
    <col min="4351" max="4351" width="43.28515625" style="328" customWidth="1"/>
    <col min="4352" max="4352" width="0" style="328" hidden="1" customWidth="1"/>
    <col min="4353" max="4353" width="13.140625" style="328" bestFit="1" customWidth="1"/>
    <col min="4354" max="4354" width="18" style="328" customWidth="1"/>
    <col min="4355" max="4355" width="16.140625" style="328" customWidth="1"/>
    <col min="4356" max="4356" width="17.28515625" style="328" customWidth="1"/>
    <col min="4357" max="4357" width="13.85546875" style="328" customWidth="1"/>
    <col min="4358" max="4605" width="9.140625" style="328"/>
    <col min="4606" max="4606" width="7.7109375" style="328" bestFit="1" customWidth="1"/>
    <col min="4607" max="4607" width="43.28515625" style="328" customWidth="1"/>
    <col min="4608" max="4608" width="0" style="328" hidden="1" customWidth="1"/>
    <col min="4609" max="4609" width="13.140625" style="328" bestFit="1" customWidth="1"/>
    <col min="4610" max="4610" width="18" style="328" customWidth="1"/>
    <col min="4611" max="4611" width="16.140625" style="328" customWidth="1"/>
    <col min="4612" max="4612" width="17.28515625" style="328" customWidth="1"/>
    <col min="4613" max="4613" width="13.85546875" style="328" customWidth="1"/>
    <col min="4614" max="4861" width="9.140625" style="328"/>
    <col min="4862" max="4862" width="7.7109375" style="328" bestFit="1" customWidth="1"/>
    <col min="4863" max="4863" width="43.28515625" style="328" customWidth="1"/>
    <col min="4864" max="4864" width="0" style="328" hidden="1" customWidth="1"/>
    <col min="4865" max="4865" width="13.140625" style="328" bestFit="1" customWidth="1"/>
    <col min="4866" max="4866" width="18" style="328" customWidth="1"/>
    <col min="4867" max="4867" width="16.140625" style="328" customWidth="1"/>
    <col min="4868" max="4868" width="17.28515625" style="328" customWidth="1"/>
    <col min="4869" max="4869" width="13.85546875" style="328" customWidth="1"/>
    <col min="4870" max="5117" width="9.140625" style="328"/>
    <col min="5118" max="5118" width="7.7109375" style="328" bestFit="1" customWidth="1"/>
    <col min="5119" max="5119" width="43.28515625" style="328" customWidth="1"/>
    <col min="5120" max="5120" width="0" style="328" hidden="1" customWidth="1"/>
    <col min="5121" max="5121" width="13.140625" style="328" bestFit="1" customWidth="1"/>
    <col min="5122" max="5122" width="18" style="328" customWidth="1"/>
    <col min="5123" max="5123" width="16.140625" style="328" customWidth="1"/>
    <col min="5124" max="5124" width="17.28515625" style="328" customWidth="1"/>
    <col min="5125" max="5125" width="13.85546875" style="328" customWidth="1"/>
    <col min="5126" max="5373" width="9.140625" style="328"/>
    <col min="5374" max="5374" width="7.7109375" style="328" bestFit="1" customWidth="1"/>
    <col min="5375" max="5375" width="43.28515625" style="328" customWidth="1"/>
    <col min="5376" max="5376" width="0" style="328" hidden="1" customWidth="1"/>
    <col min="5377" max="5377" width="13.140625" style="328" bestFit="1" customWidth="1"/>
    <col min="5378" max="5378" width="18" style="328" customWidth="1"/>
    <col min="5379" max="5379" width="16.140625" style="328" customWidth="1"/>
    <col min="5380" max="5380" width="17.28515625" style="328" customWidth="1"/>
    <col min="5381" max="5381" width="13.85546875" style="328" customWidth="1"/>
    <col min="5382" max="5629" width="9.140625" style="328"/>
    <col min="5630" max="5630" width="7.7109375" style="328" bestFit="1" customWidth="1"/>
    <col min="5631" max="5631" width="43.28515625" style="328" customWidth="1"/>
    <col min="5632" max="5632" width="0" style="328" hidden="1" customWidth="1"/>
    <col min="5633" max="5633" width="13.140625" style="328" bestFit="1" customWidth="1"/>
    <col min="5634" max="5634" width="18" style="328" customWidth="1"/>
    <col min="5635" max="5635" width="16.140625" style="328" customWidth="1"/>
    <col min="5636" max="5636" width="17.28515625" style="328" customWidth="1"/>
    <col min="5637" max="5637" width="13.85546875" style="328" customWidth="1"/>
    <col min="5638" max="5885" width="9.140625" style="328"/>
    <col min="5886" max="5886" width="7.7109375" style="328" bestFit="1" customWidth="1"/>
    <col min="5887" max="5887" width="43.28515625" style="328" customWidth="1"/>
    <col min="5888" max="5888" width="0" style="328" hidden="1" customWidth="1"/>
    <col min="5889" max="5889" width="13.140625" style="328" bestFit="1" customWidth="1"/>
    <col min="5890" max="5890" width="18" style="328" customWidth="1"/>
    <col min="5891" max="5891" width="16.140625" style="328" customWidth="1"/>
    <col min="5892" max="5892" width="17.28515625" style="328" customWidth="1"/>
    <col min="5893" max="5893" width="13.85546875" style="328" customWidth="1"/>
    <col min="5894" max="6141" width="9.140625" style="328"/>
    <col min="6142" max="6142" width="7.7109375" style="328" bestFit="1" customWidth="1"/>
    <col min="6143" max="6143" width="43.28515625" style="328" customWidth="1"/>
    <col min="6144" max="6144" width="0" style="328" hidden="1" customWidth="1"/>
    <col min="6145" max="6145" width="13.140625" style="328" bestFit="1" customWidth="1"/>
    <col min="6146" max="6146" width="18" style="328" customWidth="1"/>
    <col min="6147" max="6147" width="16.140625" style="328" customWidth="1"/>
    <col min="6148" max="6148" width="17.28515625" style="328" customWidth="1"/>
    <col min="6149" max="6149" width="13.85546875" style="328" customWidth="1"/>
    <col min="6150" max="6397" width="9.140625" style="328"/>
    <col min="6398" max="6398" width="7.7109375" style="328" bestFit="1" customWidth="1"/>
    <col min="6399" max="6399" width="43.28515625" style="328" customWidth="1"/>
    <col min="6400" max="6400" width="0" style="328" hidden="1" customWidth="1"/>
    <col min="6401" max="6401" width="13.140625" style="328" bestFit="1" customWidth="1"/>
    <col min="6402" max="6402" width="18" style="328" customWidth="1"/>
    <col min="6403" max="6403" width="16.140625" style="328" customWidth="1"/>
    <col min="6404" max="6404" width="17.28515625" style="328" customWidth="1"/>
    <col min="6405" max="6405" width="13.85546875" style="328" customWidth="1"/>
    <col min="6406" max="6653" width="9.140625" style="328"/>
    <col min="6654" max="6654" width="7.7109375" style="328" bestFit="1" customWidth="1"/>
    <col min="6655" max="6655" width="43.28515625" style="328" customWidth="1"/>
    <col min="6656" max="6656" width="0" style="328" hidden="1" customWidth="1"/>
    <col min="6657" max="6657" width="13.140625" style="328" bestFit="1" customWidth="1"/>
    <col min="6658" max="6658" width="18" style="328" customWidth="1"/>
    <col min="6659" max="6659" width="16.140625" style="328" customWidth="1"/>
    <col min="6660" max="6660" width="17.28515625" style="328" customWidth="1"/>
    <col min="6661" max="6661" width="13.85546875" style="328" customWidth="1"/>
    <col min="6662" max="6909" width="9.140625" style="328"/>
    <col min="6910" max="6910" width="7.7109375" style="328" bestFit="1" customWidth="1"/>
    <col min="6911" max="6911" width="43.28515625" style="328" customWidth="1"/>
    <col min="6912" max="6912" width="0" style="328" hidden="1" customWidth="1"/>
    <col min="6913" max="6913" width="13.140625" style="328" bestFit="1" customWidth="1"/>
    <col min="6914" max="6914" width="18" style="328" customWidth="1"/>
    <col min="6915" max="6915" width="16.140625" style="328" customWidth="1"/>
    <col min="6916" max="6916" width="17.28515625" style="328" customWidth="1"/>
    <col min="6917" max="6917" width="13.85546875" style="328" customWidth="1"/>
    <col min="6918" max="7165" width="9.140625" style="328"/>
    <col min="7166" max="7166" width="7.7109375" style="328" bestFit="1" customWidth="1"/>
    <col min="7167" max="7167" width="43.28515625" style="328" customWidth="1"/>
    <col min="7168" max="7168" width="0" style="328" hidden="1" customWidth="1"/>
    <col min="7169" max="7169" width="13.140625" style="328" bestFit="1" customWidth="1"/>
    <col min="7170" max="7170" width="18" style="328" customWidth="1"/>
    <col min="7171" max="7171" width="16.140625" style="328" customWidth="1"/>
    <col min="7172" max="7172" width="17.28515625" style="328" customWidth="1"/>
    <col min="7173" max="7173" width="13.85546875" style="328" customWidth="1"/>
    <col min="7174" max="7421" width="9.140625" style="328"/>
    <col min="7422" max="7422" width="7.7109375" style="328" bestFit="1" customWidth="1"/>
    <col min="7423" max="7423" width="43.28515625" style="328" customWidth="1"/>
    <col min="7424" max="7424" width="0" style="328" hidden="1" customWidth="1"/>
    <col min="7425" max="7425" width="13.140625" style="328" bestFit="1" customWidth="1"/>
    <col min="7426" max="7426" width="18" style="328" customWidth="1"/>
    <col min="7427" max="7427" width="16.140625" style="328" customWidth="1"/>
    <col min="7428" max="7428" width="17.28515625" style="328" customWidth="1"/>
    <col min="7429" max="7429" width="13.85546875" style="328" customWidth="1"/>
    <col min="7430" max="7677" width="9.140625" style="328"/>
    <col min="7678" max="7678" width="7.7109375" style="328" bestFit="1" customWidth="1"/>
    <col min="7679" max="7679" width="43.28515625" style="328" customWidth="1"/>
    <col min="7680" max="7680" width="0" style="328" hidden="1" customWidth="1"/>
    <col min="7681" max="7681" width="13.140625" style="328" bestFit="1" customWidth="1"/>
    <col min="7682" max="7682" width="18" style="328" customWidth="1"/>
    <col min="7683" max="7683" width="16.140625" style="328" customWidth="1"/>
    <col min="7684" max="7684" width="17.28515625" style="328" customWidth="1"/>
    <col min="7685" max="7685" width="13.85546875" style="328" customWidth="1"/>
    <col min="7686" max="7933" width="9.140625" style="328"/>
    <col min="7934" max="7934" width="7.7109375" style="328" bestFit="1" customWidth="1"/>
    <col min="7935" max="7935" width="43.28515625" style="328" customWidth="1"/>
    <col min="7936" max="7936" width="0" style="328" hidden="1" customWidth="1"/>
    <col min="7937" max="7937" width="13.140625" style="328" bestFit="1" customWidth="1"/>
    <col min="7938" max="7938" width="18" style="328" customWidth="1"/>
    <col min="7939" max="7939" width="16.140625" style="328" customWidth="1"/>
    <col min="7940" max="7940" width="17.28515625" style="328" customWidth="1"/>
    <col min="7941" max="7941" width="13.85546875" style="328" customWidth="1"/>
    <col min="7942" max="8189" width="9.140625" style="328"/>
    <col min="8190" max="8190" width="7.7109375" style="328" bestFit="1" customWidth="1"/>
    <col min="8191" max="8191" width="43.28515625" style="328" customWidth="1"/>
    <col min="8192" max="8192" width="0" style="328" hidden="1" customWidth="1"/>
    <col min="8193" max="8193" width="13.140625" style="328" bestFit="1" customWidth="1"/>
    <col min="8194" max="8194" width="18" style="328" customWidth="1"/>
    <col min="8195" max="8195" width="16.140625" style="328" customWidth="1"/>
    <col min="8196" max="8196" width="17.28515625" style="328" customWidth="1"/>
    <col min="8197" max="8197" width="13.85546875" style="328" customWidth="1"/>
    <col min="8198" max="8445" width="9.140625" style="328"/>
    <col min="8446" max="8446" width="7.7109375" style="328" bestFit="1" customWidth="1"/>
    <col min="8447" max="8447" width="43.28515625" style="328" customWidth="1"/>
    <col min="8448" max="8448" width="0" style="328" hidden="1" customWidth="1"/>
    <col min="8449" max="8449" width="13.140625" style="328" bestFit="1" customWidth="1"/>
    <col min="8450" max="8450" width="18" style="328" customWidth="1"/>
    <col min="8451" max="8451" width="16.140625" style="328" customWidth="1"/>
    <col min="8452" max="8452" width="17.28515625" style="328" customWidth="1"/>
    <col min="8453" max="8453" width="13.85546875" style="328" customWidth="1"/>
    <col min="8454" max="8701" width="9.140625" style="328"/>
    <col min="8702" max="8702" width="7.7109375" style="328" bestFit="1" customWidth="1"/>
    <col min="8703" max="8703" width="43.28515625" style="328" customWidth="1"/>
    <col min="8704" max="8704" width="0" style="328" hidden="1" customWidth="1"/>
    <col min="8705" max="8705" width="13.140625" style="328" bestFit="1" customWidth="1"/>
    <col min="8706" max="8706" width="18" style="328" customWidth="1"/>
    <col min="8707" max="8707" width="16.140625" style="328" customWidth="1"/>
    <col min="8708" max="8708" width="17.28515625" style="328" customWidth="1"/>
    <col min="8709" max="8709" width="13.85546875" style="328" customWidth="1"/>
    <col min="8710" max="8957" width="9.140625" style="328"/>
    <col min="8958" max="8958" width="7.7109375" style="328" bestFit="1" customWidth="1"/>
    <col min="8959" max="8959" width="43.28515625" style="328" customWidth="1"/>
    <col min="8960" max="8960" width="0" style="328" hidden="1" customWidth="1"/>
    <col min="8961" max="8961" width="13.140625" style="328" bestFit="1" customWidth="1"/>
    <col min="8962" max="8962" width="18" style="328" customWidth="1"/>
    <col min="8963" max="8963" width="16.140625" style="328" customWidth="1"/>
    <col min="8964" max="8964" width="17.28515625" style="328" customWidth="1"/>
    <col min="8965" max="8965" width="13.85546875" style="328" customWidth="1"/>
    <col min="8966" max="9213" width="9.140625" style="328"/>
    <col min="9214" max="9214" width="7.7109375" style="328" bestFit="1" customWidth="1"/>
    <col min="9215" max="9215" width="43.28515625" style="328" customWidth="1"/>
    <col min="9216" max="9216" width="0" style="328" hidden="1" customWidth="1"/>
    <col min="9217" max="9217" width="13.140625" style="328" bestFit="1" customWidth="1"/>
    <col min="9218" max="9218" width="18" style="328" customWidth="1"/>
    <col min="9219" max="9219" width="16.140625" style="328" customWidth="1"/>
    <col min="9220" max="9220" width="17.28515625" style="328" customWidth="1"/>
    <col min="9221" max="9221" width="13.85546875" style="328" customWidth="1"/>
    <col min="9222" max="9469" width="9.140625" style="328"/>
    <col min="9470" max="9470" width="7.7109375" style="328" bestFit="1" customWidth="1"/>
    <col min="9471" max="9471" width="43.28515625" style="328" customWidth="1"/>
    <col min="9472" max="9472" width="0" style="328" hidden="1" customWidth="1"/>
    <col min="9473" max="9473" width="13.140625" style="328" bestFit="1" customWidth="1"/>
    <col min="9474" max="9474" width="18" style="328" customWidth="1"/>
    <col min="9475" max="9475" width="16.140625" style="328" customWidth="1"/>
    <col min="9476" max="9476" width="17.28515625" style="328" customWidth="1"/>
    <col min="9477" max="9477" width="13.85546875" style="328" customWidth="1"/>
    <col min="9478" max="9725" width="9.140625" style="328"/>
    <col min="9726" max="9726" width="7.7109375" style="328" bestFit="1" customWidth="1"/>
    <col min="9727" max="9727" width="43.28515625" style="328" customWidth="1"/>
    <col min="9728" max="9728" width="0" style="328" hidden="1" customWidth="1"/>
    <col min="9729" max="9729" width="13.140625" style="328" bestFit="1" customWidth="1"/>
    <col min="9730" max="9730" width="18" style="328" customWidth="1"/>
    <col min="9731" max="9731" width="16.140625" style="328" customWidth="1"/>
    <col min="9732" max="9732" width="17.28515625" style="328" customWidth="1"/>
    <col min="9733" max="9733" width="13.85546875" style="328" customWidth="1"/>
    <col min="9734" max="9981" width="9.140625" style="328"/>
    <col min="9982" max="9982" width="7.7109375" style="328" bestFit="1" customWidth="1"/>
    <col min="9983" max="9983" width="43.28515625" style="328" customWidth="1"/>
    <col min="9984" max="9984" width="0" style="328" hidden="1" customWidth="1"/>
    <col min="9985" max="9985" width="13.140625" style="328" bestFit="1" customWidth="1"/>
    <col min="9986" max="9986" width="18" style="328" customWidth="1"/>
    <col min="9987" max="9987" width="16.140625" style="328" customWidth="1"/>
    <col min="9988" max="9988" width="17.28515625" style="328" customWidth="1"/>
    <col min="9989" max="9989" width="13.85546875" style="328" customWidth="1"/>
    <col min="9990" max="10237" width="9.140625" style="328"/>
    <col min="10238" max="10238" width="7.7109375" style="328" bestFit="1" customWidth="1"/>
    <col min="10239" max="10239" width="43.28515625" style="328" customWidth="1"/>
    <col min="10240" max="10240" width="0" style="328" hidden="1" customWidth="1"/>
    <col min="10241" max="10241" width="13.140625" style="328" bestFit="1" customWidth="1"/>
    <col min="10242" max="10242" width="18" style="328" customWidth="1"/>
    <col min="10243" max="10243" width="16.140625" style="328" customWidth="1"/>
    <col min="10244" max="10244" width="17.28515625" style="328" customWidth="1"/>
    <col min="10245" max="10245" width="13.85546875" style="328" customWidth="1"/>
    <col min="10246" max="10493" width="9.140625" style="328"/>
    <col min="10494" max="10494" width="7.7109375" style="328" bestFit="1" customWidth="1"/>
    <col min="10495" max="10495" width="43.28515625" style="328" customWidth="1"/>
    <col min="10496" max="10496" width="0" style="328" hidden="1" customWidth="1"/>
    <col min="10497" max="10497" width="13.140625" style="328" bestFit="1" customWidth="1"/>
    <col min="10498" max="10498" width="18" style="328" customWidth="1"/>
    <col min="10499" max="10499" width="16.140625" style="328" customWidth="1"/>
    <col min="10500" max="10500" width="17.28515625" style="328" customWidth="1"/>
    <col min="10501" max="10501" width="13.85546875" style="328" customWidth="1"/>
    <col min="10502" max="10749" width="9.140625" style="328"/>
    <col min="10750" max="10750" width="7.7109375" style="328" bestFit="1" customWidth="1"/>
    <col min="10751" max="10751" width="43.28515625" style="328" customWidth="1"/>
    <col min="10752" max="10752" width="0" style="328" hidden="1" customWidth="1"/>
    <col min="10753" max="10753" width="13.140625" style="328" bestFit="1" customWidth="1"/>
    <col min="10754" max="10754" width="18" style="328" customWidth="1"/>
    <col min="10755" max="10755" width="16.140625" style="328" customWidth="1"/>
    <col min="10756" max="10756" width="17.28515625" style="328" customWidth="1"/>
    <col min="10757" max="10757" width="13.85546875" style="328" customWidth="1"/>
    <col min="10758" max="11005" width="9.140625" style="328"/>
    <col min="11006" max="11006" width="7.7109375" style="328" bestFit="1" customWidth="1"/>
    <col min="11007" max="11007" width="43.28515625" style="328" customWidth="1"/>
    <col min="11008" max="11008" width="0" style="328" hidden="1" customWidth="1"/>
    <col min="11009" max="11009" width="13.140625" style="328" bestFit="1" customWidth="1"/>
    <col min="11010" max="11010" width="18" style="328" customWidth="1"/>
    <col min="11011" max="11011" width="16.140625" style="328" customWidth="1"/>
    <col min="11012" max="11012" width="17.28515625" style="328" customWidth="1"/>
    <col min="11013" max="11013" width="13.85546875" style="328" customWidth="1"/>
    <col min="11014" max="11261" width="9.140625" style="328"/>
    <col min="11262" max="11262" width="7.7109375" style="328" bestFit="1" customWidth="1"/>
    <col min="11263" max="11263" width="43.28515625" style="328" customWidth="1"/>
    <col min="11264" max="11264" width="0" style="328" hidden="1" customWidth="1"/>
    <col min="11265" max="11265" width="13.140625" style="328" bestFit="1" customWidth="1"/>
    <col min="11266" max="11266" width="18" style="328" customWidth="1"/>
    <col min="11267" max="11267" width="16.140625" style="328" customWidth="1"/>
    <col min="11268" max="11268" width="17.28515625" style="328" customWidth="1"/>
    <col min="11269" max="11269" width="13.85546875" style="328" customWidth="1"/>
    <col min="11270" max="11517" width="9.140625" style="328"/>
    <col min="11518" max="11518" width="7.7109375" style="328" bestFit="1" customWidth="1"/>
    <col min="11519" max="11519" width="43.28515625" style="328" customWidth="1"/>
    <col min="11520" max="11520" width="0" style="328" hidden="1" customWidth="1"/>
    <col min="11521" max="11521" width="13.140625" style="328" bestFit="1" customWidth="1"/>
    <col min="11522" max="11522" width="18" style="328" customWidth="1"/>
    <col min="11523" max="11523" width="16.140625" style="328" customWidth="1"/>
    <col min="11524" max="11524" width="17.28515625" style="328" customWidth="1"/>
    <col min="11525" max="11525" width="13.85546875" style="328" customWidth="1"/>
    <col min="11526" max="11773" width="9.140625" style="328"/>
    <col min="11774" max="11774" width="7.7109375" style="328" bestFit="1" customWidth="1"/>
    <col min="11775" max="11775" width="43.28515625" style="328" customWidth="1"/>
    <col min="11776" max="11776" width="0" style="328" hidden="1" customWidth="1"/>
    <col min="11777" max="11777" width="13.140625" style="328" bestFit="1" customWidth="1"/>
    <col min="11778" max="11778" width="18" style="328" customWidth="1"/>
    <col min="11779" max="11779" width="16.140625" style="328" customWidth="1"/>
    <col min="11780" max="11780" width="17.28515625" style="328" customWidth="1"/>
    <col min="11781" max="11781" width="13.85546875" style="328" customWidth="1"/>
    <col min="11782" max="12029" width="9.140625" style="328"/>
    <col min="12030" max="12030" width="7.7109375" style="328" bestFit="1" customWidth="1"/>
    <col min="12031" max="12031" width="43.28515625" style="328" customWidth="1"/>
    <col min="12032" max="12032" width="0" style="328" hidden="1" customWidth="1"/>
    <col min="12033" max="12033" width="13.140625" style="328" bestFit="1" customWidth="1"/>
    <col min="12034" max="12034" width="18" style="328" customWidth="1"/>
    <col min="12035" max="12035" width="16.140625" style="328" customWidth="1"/>
    <col min="12036" max="12036" width="17.28515625" style="328" customWidth="1"/>
    <col min="12037" max="12037" width="13.85546875" style="328" customWidth="1"/>
    <col min="12038" max="12285" width="9.140625" style="328"/>
    <col min="12286" max="12286" width="7.7109375" style="328" bestFit="1" customWidth="1"/>
    <col min="12287" max="12287" width="43.28515625" style="328" customWidth="1"/>
    <col min="12288" max="12288" width="0" style="328" hidden="1" customWidth="1"/>
    <col min="12289" max="12289" width="13.140625" style="328" bestFit="1" customWidth="1"/>
    <col min="12290" max="12290" width="18" style="328" customWidth="1"/>
    <col min="12291" max="12291" width="16.140625" style="328" customWidth="1"/>
    <col min="12292" max="12292" width="17.28515625" style="328" customWidth="1"/>
    <col min="12293" max="12293" width="13.85546875" style="328" customWidth="1"/>
    <col min="12294" max="12541" width="9.140625" style="328"/>
    <col min="12542" max="12542" width="7.7109375" style="328" bestFit="1" customWidth="1"/>
    <col min="12543" max="12543" width="43.28515625" style="328" customWidth="1"/>
    <col min="12544" max="12544" width="0" style="328" hidden="1" customWidth="1"/>
    <col min="12545" max="12545" width="13.140625" style="328" bestFit="1" customWidth="1"/>
    <col min="12546" max="12546" width="18" style="328" customWidth="1"/>
    <col min="12547" max="12547" width="16.140625" style="328" customWidth="1"/>
    <col min="12548" max="12548" width="17.28515625" style="328" customWidth="1"/>
    <col min="12549" max="12549" width="13.85546875" style="328" customWidth="1"/>
    <col min="12550" max="12797" width="9.140625" style="328"/>
    <col min="12798" max="12798" width="7.7109375" style="328" bestFit="1" customWidth="1"/>
    <col min="12799" max="12799" width="43.28515625" style="328" customWidth="1"/>
    <col min="12800" max="12800" width="0" style="328" hidden="1" customWidth="1"/>
    <col min="12801" max="12801" width="13.140625" style="328" bestFit="1" customWidth="1"/>
    <col min="12802" max="12802" width="18" style="328" customWidth="1"/>
    <col min="12803" max="12803" width="16.140625" style="328" customWidth="1"/>
    <col min="12804" max="12804" width="17.28515625" style="328" customWidth="1"/>
    <col min="12805" max="12805" width="13.85546875" style="328" customWidth="1"/>
    <col min="12806" max="13053" width="9.140625" style="328"/>
    <col min="13054" max="13054" width="7.7109375" style="328" bestFit="1" customWidth="1"/>
    <col min="13055" max="13055" width="43.28515625" style="328" customWidth="1"/>
    <col min="13056" max="13056" width="0" style="328" hidden="1" customWidth="1"/>
    <col min="13057" max="13057" width="13.140625" style="328" bestFit="1" customWidth="1"/>
    <col min="13058" max="13058" width="18" style="328" customWidth="1"/>
    <col min="13059" max="13059" width="16.140625" style="328" customWidth="1"/>
    <col min="13060" max="13060" width="17.28515625" style="328" customWidth="1"/>
    <col min="13061" max="13061" width="13.85546875" style="328" customWidth="1"/>
    <col min="13062" max="13309" width="9.140625" style="328"/>
    <col min="13310" max="13310" width="7.7109375" style="328" bestFit="1" customWidth="1"/>
    <col min="13311" max="13311" width="43.28515625" style="328" customWidth="1"/>
    <col min="13312" max="13312" width="0" style="328" hidden="1" customWidth="1"/>
    <col min="13313" max="13313" width="13.140625" style="328" bestFit="1" customWidth="1"/>
    <col min="13314" max="13314" width="18" style="328" customWidth="1"/>
    <col min="13315" max="13315" width="16.140625" style="328" customWidth="1"/>
    <col min="13316" max="13316" width="17.28515625" style="328" customWidth="1"/>
    <col min="13317" max="13317" width="13.85546875" style="328" customWidth="1"/>
    <col min="13318" max="13565" width="9.140625" style="328"/>
    <col min="13566" max="13566" width="7.7109375" style="328" bestFit="1" customWidth="1"/>
    <col min="13567" max="13567" width="43.28515625" style="328" customWidth="1"/>
    <col min="13568" max="13568" width="0" style="328" hidden="1" customWidth="1"/>
    <col min="13569" max="13569" width="13.140625" style="328" bestFit="1" customWidth="1"/>
    <col min="13570" max="13570" width="18" style="328" customWidth="1"/>
    <col min="13571" max="13571" width="16.140625" style="328" customWidth="1"/>
    <col min="13572" max="13572" width="17.28515625" style="328" customWidth="1"/>
    <col min="13573" max="13573" width="13.85546875" style="328" customWidth="1"/>
    <col min="13574" max="13821" width="9.140625" style="328"/>
    <col min="13822" max="13822" width="7.7109375" style="328" bestFit="1" customWidth="1"/>
    <col min="13823" max="13823" width="43.28515625" style="328" customWidth="1"/>
    <col min="13824" max="13824" width="0" style="328" hidden="1" customWidth="1"/>
    <col min="13825" max="13825" width="13.140625" style="328" bestFit="1" customWidth="1"/>
    <col min="13826" max="13826" width="18" style="328" customWidth="1"/>
    <col min="13827" max="13827" width="16.140625" style="328" customWidth="1"/>
    <col min="13828" max="13828" width="17.28515625" style="328" customWidth="1"/>
    <col min="13829" max="13829" width="13.85546875" style="328" customWidth="1"/>
    <col min="13830" max="14077" width="9.140625" style="328"/>
    <col min="14078" max="14078" width="7.7109375" style="328" bestFit="1" customWidth="1"/>
    <col min="14079" max="14079" width="43.28515625" style="328" customWidth="1"/>
    <col min="14080" max="14080" width="0" style="328" hidden="1" customWidth="1"/>
    <col min="14081" max="14081" width="13.140625" style="328" bestFit="1" customWidth="1"/>
    <col min="14082" max="14082" width="18" style="328" customWidth="1"/>
    <col min="14083" max="14083" width="16.140625" style="328" customWidth="1"/>
    <col min="14084" max="14084" width="17.28515625" style="328" customWidth="1"/>
    <col min="14085" max="14085" width="13.85546875" style="328" customWidth="1"/>
    <col min="14086" max="14333" width="9.140625" style="328"/>
    <col min="14334" max="14334" width="7.7109375" style="328" bestFit="1" customWidth="1"/>
    <col min="14335" max="14335" width="43.28515625" style="328" customWidth="1"/>
    <col min="14336" max="14336" width="0" style="328" hidden="1" customWidth="1"/>
    <col min="14337" max="14337" width="13.140625" style="328" bestFit="1" customWidth="1"/>
    <col min="14338" max="14338" width="18" style="328" customWidth="1"/>
    <col min="14339" max="14339" width="16.140625" style="328" customWidth="1"/>
    <col min="14340" max="14340" width="17.28515625" style="328" customWidth="1"/>
    <col min="14341" max="14341" width="13.85546875" style="328" customWidth="1"/>
    <col min="14342" max="14589" width="9.140625" style="328"/>
    <col min="14590" max="14590" width="7.7109375" style="328" bestFit="1" customWidth="1"/>
    <col min="14591" max="14591" width="43.28515625" style="328" customWidth="1"/>
    <col min="14592" max="14592" width="0" style="328" hidden="1" customWidth="1"/>
    <col min="14593" max="14593" width="13.140625" style="328" bestFit="1" customWidth="1"/>
    <col min="14594" max="14594" width="18" style="328" customWidth="1"/>
    <col min="14595" max="14595" width="16.140625" style="328" customWidth="1"/>
    <col min="14596" max="14596" width="17.28515625" style="328" customWidth="1"/>
    <col min="14597" max="14597" width="13.85546875" style="328" customWidth="1"/>
    <col min="14598" max="14845" width="9.140625" style="328"/>
    <col min="14846" max="14846" width="7.7109375" style="328" bestFit="1" customWidth="1"/>
    <col min="14847" max="14847" width="43.28515625" style="328" customWidth="1"/>
    <col min="14848" max="14848" width="0" style="328" hidden="1" customWidth="1"/>
    <col min="14849" max="14849" width="13.140625" style="328" bestFit="1" customWidth="1"/>
    <col min="14850" max="14850" width="18" style="328" customWidth="1"/>
    <col min="14851" max="14851" width="16.140625" style="328" customWidth="1"/>
    <col min="14852" max="14852" width="17.28515625" style="328" customWidth="1"/>
    <col min="14853" max="14853" width="13.85546875" style="328" customWidth="1"/>
    <col min="14854" max="15101" width="9.140625" style="328"/>
    <col min="15102" max="15102" width="7.7109375" style="328" bestFit="1" customWidth="1"/>
    <col min="15103" max="15103" width="43.28515625" style="328" customWidth="1"/>
    <col min="15104" max="15104" width="0" style="328" hidden="1" customWidth="1"/>
    <col min="15105" max="15105" width="13.140625" style="328" bestFit="1" customWidth="1"/>
    <col min="15106" max="15106" width="18" style="328" customWidth="1"/>
    <col min="15107" max="15107" width="16.140625" style="328" customWidth="1"/>
    <col min="15108" max="15108" width="17.28515625" style="328" customWidth="1"/>
    <col min="15109" max="15109" width="13.85546875" style="328" customWidth="1"/>
    <col min="15110" max="15357" width="9.140625" style="328"/>
    <col min="15358" max="15358" width="7.7109375" style="328" bestFit="1" customWidth="1"/>
    <col min="15359" max="15359" width="43.28515625" style="328" customWidth="1"/>
    <col min="15360" max="15360" width="0" style="328" hidden="1" customWidth="1"/>
    <col min="15361" max="15361" width="13.140625" style="328" bestFit="1" customWidth="1"/>
    <col min="15362" max="15362" width="18" style="328" customWidth="1"/>
    <col min="15363" max="15363" width="16.140625" style="328" customWidth="1"/>
    <col min="15364" max="15364" width="17.28515625" style="328" customWidth="1"/>
    <col min="15365" max="15365" width="13.85546875" style="328" customWidth="1"/>
    <col min="15366" max="15613" width="9.140625" style="328"/>
    <col min="15614" max="15614" width="7.7109375" style="328" bestFit="1" customWidth="1"/>
    <col min="15615" max="15615" width="43.28515625" style="328" customWidth="1"/>
    <col min="15616" max="15616" width="0" style="328" hidden="1" customWidth="1"/>
    <col min="15617" max="15617" width="13.140625" style="328" bestFit="1" customWidth="1"/>
    <col min="15618" max="15618" width="18" style="328" customWidth="1"/>
    <col min="15619" max="15619" width="16.140625" style="328" customWidth="1"/>
    <col min="15620" max="15620" width="17.28515625" style="328" customWidth="1"/>
    <col min="15621" max="15621" width="13.85546875" style="328" customWidth="1"/>
    <col min="15622" max="15869" width="9.140625" style="328"/>
    <col min="15870" max="15870" width="7.7109375" style="328" bestFit="1" customWidth="1"/>
    <col min="15871" max="15871" width="43.28515625" style="328" customWidth="1"/>
    <col min="15872" max="15872" width="0" style="328" hidden="1" customWidth="1"/>
    <col min="15873" max="15873" width="13.140625" style="328" bestFit="1" customWidth="1"/>
    <col min="15874" max="15874" width="18" style="328" customWidth="1"/>
    <col min="15875" max="15875" width="16.140625" style="328" customWidth="1"/>
    <col min="15876" max="15876" width="17.28515625" style="328" customWidth="1"/>
    <col min="15877" max="15877" width="13.85546875" style="328" customWidth="1"/>
    <col min="15878" max="16125" width="9.140625" style="328"/>
    <col min="16126" max="16126" width="7.7109375" style="328" bestFit="1" customWidth="1"/>
    <col min="16127" max="16127" width="43.28515625" style="328" customWidth="1"/>
    <col min="16128" max="16128" width="0" style="328" hidden="1" customWidth="1"/>
    <col min="16129" max="16129" width="13.140625" style="328" bestFit="1" customWidth="1"/>
    <col min="16130" max="16130" width="18" style="328" customWidth="1"/>
    <col min="16131" max="16131" width="16.140625" style="328" customWidth="1"/>
    <col min="16132" max="16132" width="17.28515625" style="328" customWidth="1"/>
    <col min="16133" max="16133" width="13.85546875" style="328" customWidth="1"/>
    <col min="16134" max="16384" width="9.140625" style="328"/>
  </cols>
  <sheetData>
    <row r="1" spans="1:5" ht="18.75">
      <c r="A1" s="720" t="s">
        <v>459</v>
      </c>
      <c r="B1" s="720"/>
      <c r="C1" s="720"/>
      <c r="D1" s="720"/>
      <c r="E1" s="720"/>
    </row>
    <row r="2" spans="1:5">
      <c r="A2" s="721" t="s">
        <v>1164</v>
      </c>
      <c r="B2" s="721"/>
      <c r="C2" s="721"/>
      <c r="D2" s="721"/>
      <c r="E2" s="721"/>
    </row>
    <row r="3" spans="1:5">
      <c r="A3" s="333"/>
      <c r="B3" s="333"/>
      <c r="C3" s="333"/>
      <c r="D3" s="333"/>
      <c r="E3" s="333"/>
    </row>
    <row r="4" spans="1:5" ht="35.1" customHeight="1">
      <c r="A4" s="722" t="s">
        <v>196</v>
      </c>
      <c r="B4" s="722" t="s">
        <v>271</v>
      </c>
      <c r="C4" s="722" t="s">
        <v>460</v>
      </c>
      <c r="D4" s="722" t="s">
        <v>461</v>
      </c>
      <c r="E4" s="723" t="s">
        <v>1165</v>
      </c>
    </row>
    <row r="5" spans="1:5" ht="35.1" customHeight="1">
      <c r="A5" s="722"/>
      <c r="B5" s="722"/>
      <c r="C5" s="722"/>
      <c r="D5" s="722"/>
      <c r="E5" s="723"/>
    </row>
    <row r="6" spans="1:5" ht="15" customHeight="1">
      <c r="A6" s="329">
        <v>1</v>
      </c>
      <c r="B6" s="330" t="s">
        <v>55</v>
      </c>
      <c r="C6" s="505">
        <v>2699</v>
      </c>
      <c r="D6" s="505">
        <v>2812</v>
      </c>
      <c r="E6" s="506">
        <f t="shared" ref="E6:E21" si="0">D6*100/C6</f>
        <v>104.18673582808448</v>
      </c>
    </row>
    <row r="7" spans="1:5" ht="15" customHeight="1">
      <c r="A7" s="329">
        <v>2</v>
      </c>
      <c r="B7" s="330" t="s">
        <v>57</v>
      </c>
      <c r="C7" s="505">
        <v>2283</v>
      </c>
      <c r="D7" s="505">
        <v>2408</v>
      </c>
      <c r="E7" s="506">
        <f t="shared" si="0"/>
        <v>105.47525186158563</v>
      </c>
    </row>
    <row r="8" spans="1:5" ht="15" customHeight="1">
      <c r="A8" s="329">
        <v>3</v>
      </c>
      <c r="B8" s="330" t="s">
        <v>58</v>
      </c>
      <c r="C8" s="505">
        <v>5687</v>
      </c>
      <c r="D8" s="505">
        <v>5229</v>
      </c>
      <c r="E8" s="506">
        <f t="shared" si="0"/>
        <v>91.94654475118692</v>
      </c>
    </row>
    <row r="9" spans="1:5" ht="15" customHeight="1">
      <c r="A9" s="329">
        <v>4</v>
      </c>
      <c r="B9" s="330" t="s">
        <v>59</v>
      </c>
      <c r="C9" s="505">
        <v>2243</v>
      </c>
      <c r="D9" s="505">
        <v>1785</v>
      </c>
      <c r="E9" s="506">
        <f t="shared" si="0"/>
        <v>79.580918412839949</v>
      </c>
    </row>
    <row r="10" spans="1:5" ht="15" customHeight="1">
      <c r="A10" s="329">
        <v>5</v>
      </c>
      <c r="B10" s="330" t="s">
        <v>61</v>
      </c>
      <c r="C10" s="505">
        <v>8953</v>
      </c>
      <c r="D10" s="505">
        <v>8271</v>
      </c>
      <c r="E10" s="506">
        <f t="shared" si="0"/>
        <v>92.382441639673857</v>
      </c>
    </row>
    <row r="11" spans="1:5" ht="15" customHeight="1">
      <c r="A11" s="329">
        <v>6</v>
      </c>
      <c r="B11" s="330" t="s">
        <v>465</v>
      </c>
      <c r="C11" s="505">
        <v>9738</v>
      </c>
      <c r="D11" s="505">
        <v>7655</v>
      </c>
      <c r="E11" s="506">
        <f t="shared" si="0"/>
        <v>78.609570753748201</v>
      </c>
    </row>
    <row r="12" spans="1:5" ht="15" customHeight="1">
      <c r="A12" s="329">
        <v>7</v>
      </c>
      <c r="B12" s="330" t="s">
        <v>63</v>
      </c>
      <c r="C12" s="505">
        <v>499</v>
      </c>
      <c r="D12" s="507">
        <v>477</v>
      </c>
      <c r="E12" s="506">
        <f t="shared" si="0"/>
        <v>95.591182364729463</v>
      </c>
    </row>
    <row r="13" spans="1:5" ht="15" customHeight="1">
      <c r="A13" s="329">
        <v>8</v>
      </c>
      <c r="B13" s="330" t="s">
        <v>463</v>
      </c>
      <c r="C13" s="505">
        <v>9149</v>
      </c>
      <c r="D13" s="505">
        <v>8525</v>
      </c>
      <c r="E13" s="506">
        <f t="shared" si="0"/>
        <v>93.179582468029295</v>
      </c>
    </row>
    <row r="14" spans="1:5" ht="15" customHeight="1">
      <c r="A14" s="329">
        <v>9</v>
      </c>
      <c r="B14" s="330" t="s">
        <v>464</v>
      </c>
      <c r="C14" s="505">
        <v>6811</v>
      </c>
      <c r="D14" s="505">
        <v>6367</v>
      </c>
      <c r="E14" s="506">
        <f t="shared" si="0"/>
        <v>93.481133460578477</v>
      </c>
    </row>
    <row r="15" spans="1:5" ht="15" customHeight="1">
      <c r="A15" s="329">
        <v>10</v>
      </c>
      <c r="B15" s="330" t="s">
        <v>82</v>
      </c>
      <c r="C15" s="505">
        <v>563</v>
      </c>
      <c r="D15" s="505">
        <v>266</v>
      </c>
      <c r="E15" s="506">
        <f t="shared" si="0"/>
        <v>47.246891651865006</v>
      </c>
    </row>
    <row r="16" spans="1:5" ht="15" customHeight="1">
      <c r="A16" s="329">
        <v>11</v>
      </c>
      <c r="B16" s="330" t="s">
        <v>462</v>
      </c>
      <c r="C16" s="505">
        <v>3887</v>
      </c>
      <c r="D16" s="505">
        <v>4882</v>
      </c>
      <c r="E16" s="506">
        <f t="shared" si="0"/>
        <v>125.59814767172627</v>
      </c>
    </row>
    <row r="17" spans="1:5" ht="15" customHeight="1">
      <c r="A17" s="329">
        <v>12</v>
      </c>
      <c r="B17" s="330" t="s">
        <v>70</v>
      </c>
      <c r="C17" s="505">
        <v>15773</v>
      </c>
      <c r="D17" s="505">
        <v>14408</v>
      </c>
      <c r="E17" s="506">
        <f t="shared" si="0"/>
        <v>91.345970963038098</v>
      </c>
    </row>
    <row r="18" spans="1:5" ht="15" customHeight="1">
      <c r="A18" s="329">
        <v>13</v>
      </c>
      <c r="B18" s="330" t="s">
        <v>65</v>
      </c>
      <c r="C18" s="505">
        <v>698</v>
      </c>
      <c r="D18" s="505">
        <v>752</v>
      </c>
      <c r="E18" s="506">
        <f t="shared" si="0"/>
        <v>107.73638968481376</v>
      </c>
    </row>
    <row r="19" spans="1:5" ht="15" customHeight="1">
      <c r="A19" s="329">
        <v>14</v>
      </c>
      <c r="B19" s="330" t="s">
        <v>66</v>
      </c>
      <c r="C19" s="505">
        <v>3856</v>
      </c>
      <c r="D19" s="505">
        <v>2932</v>
      </c>
      <c r="E19" s="506">
        <f t="shared" si="0"/>
        <v>76.037344398340252</v>
      </c>
    </row>
    <row r="20" spans="1:5" ht="15" customHeight="1">
      <c r="A20" s="329">
        <v>15</v>
      </c>
      <c r="B20" s="330" t="s">
        <v>261</v>
      </c>
      <c r="C20" s="505">
        <v>2161</v>
      </c>
      <c r="D20" s="505">
        <v>2537</v>
      </c>
      <c r="E20" s="506">
        <f t="shared" si="0"/>
        <v>117.39935215178159</v>
      </c>
    </row>
    <row r="21" spans="1:5" ht="15" customHeight="1">
      <c r="A21" s="330"/>
      <c r="B21" s="331" t="s">
        <v>1</v>
      </c>
      <c r="C21" s="508">
        <f>SUM(C6:C20)</f>
        <v>75000</v>
      </c>
      <c r="D21" s="508">
        <f>SUM(D6:D20)</f>
        <v>69306</v>
      </c>
      <c r="E21" s="509">
        <f t="shared" si="0"/>
        <v>92.408000000000001</v>
      </c>
    </row>
    <row r="24" spans="1:5">
      <c r="B24" s="339" t="s">
        <v>775</v>
      </c>
    </row>
  </sheetData>
  <sortState ref="B7:F25">
    <sortCondition ref="B6:B25"/>
  </sortState>
  <mergeCells count="7">
    <mergeCell ref="A1:E1"/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8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Normal="100" workbookViewId="0">
      <pane xSplit="2" ySplit="6" topLeftCell="C49" activePane="bottomRight" state="frozen"/>
      <selection pane="topRight" activeCell="C1" sqref="C1"/>
      <selection pane="bottomLeft" activeCell="A6" sqref="A6"/>
      <selection pane="bottomRight" activeCell="L67" sqref="L67"/>
    </sheetView>
  </sheetViews>
  <sheetFormatPr defaultRowHeight="12.75"/>
  <cols>
    <col min="1" max="1" width="22.85546875" style="409" customWidth="1"/>
    <col min="2" max="2" width="11.140625" style="474" customWidth="1"/>
    <col min="3" max="3" width="7.85546875" style="475" customWidth="1"/>
    <col min="4" max="4" width="8.85546875" style="475" customWidth="1"/>
    <col min="5" max="5" width="9.28515625" style="475" customWidth="1"/>
    <col min="6" max="6" width="8.7109375" style="409" customWidth="1"/>
    <col min="7" max="7" width="10.85546875" style="408" bestFit="1" customWidth="1"/>
    <col min="8" max="8" width="9.140625" style="409" bestFit="1" customWidth="1"/>
    <col min="9" max="9" width="10.85546875" style="408" bestFit="1" customWidth="1"/>
    <col min="10" max="10" width="9.140625" style="409" bestFit="1" customWidth="1"/>
    <col min="11" max="11" width="11.28515625" style="408" bestFit="1" customWidth="1"/>
    <col min="12" max="12" width="13.7109375" style="414" bestFit="1" customWidth="1"/>
    <col min="13" max="13" width="11.28515625" style="408" bestFit="1" customWidth="1"/>
    <col min="14" max="14" width="13.7109375" style="408" bestFit="1" customWidth="1"/>
    <col min="15" max="16384" width="9.140625" style="409"/>
  </cols>
  <sheetData>
    <row r="1" spans="1:14" ht="15.75" customHeight="1">
      <c r="A1" s="733" t="s">
        <v>1125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</row>
    <row r="2" spans="1:14" ht="15.75" customHeight="1">
      <c r="A2" s="504"/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4">
      <c r="A3" s="408" t="s">
        <v>1126</v>
      </c>
      <c r="B3" s="411"/>
      <c r="C3" s="412"/>
      <c r="D3" s="412"/>
      <c r="E3" s="412"/>
      <c r="F3" s="410"/>
      <c r="G3" s="413"/>
      <c r="L3" s="503" t="s">
        <v>1163</v>
      </c>
    </row>
    <row r="4" spans="1:14" ht="24.95" customHeight="1">
      <c r="A4" s="727" t="s">
        <v>1127</v>
      </c>
      <c r="B4" s="729" t="s">
        <v>1128</v>
      </c>
      <c r="C4" s="415" t="s">
        <v>1129</v>
      </c>
      <c r="D4" s="416" t="s">
        <v>1130</v>
      </c>
      <c r="E4" s="416" t="s">
        <v>1131</v>
      </c>
      <c r="F4" s="727" t="s">
        <v>1132</v>
      </c>
      <c r="G4" s="730"/>
      <c r="H4" s="727" t="s">
        <v>1133</v>
      </c>
      <c r="I4" s="730"/>
      <c r="J4" s="727" t="s">
        <v>1134</v>
      </c>
      <c r="K4" s="731"/>
      <c r="L4" s="732" t="s">
        <v>1</v>
      </c>
      <c r="M4" s="732"/>
      <c r="N4" s="729" t="s">
        <v>121</v>
      </c>
    </row>
    <row r="5" spans="1:14" s="422" customFormat="1">
      <c r="A5" s="728"/>
      <c r="B5" s="729"/>
      <c r="C5" s="417" t="s">
        <v>30</v>
      </c>
      <c r="D5" s="418" t="s">
        <v>30</v>
      </c>
      <c r="E5" s="417" t="s">
        <v>30</v>
      </c>
      <c r="F5" s="418" t="s">
        <v>30</v>
      </c>
      <c r="G5" s="419" t="s">
        <v>17</v>
      </c>
      <c r="H5" s="418" t="s">
        <v>30</v>
      </c>
      <c r="I5" s="419" t="s">
        <v>17</v>
      </c>
      <c r="J5" s="418" t="s">
        <v>30</v>
      </c>
      <c r="K5" s="420" t="s">
        <v>17</v>
      </c>
      <c r="L5" s="418" t="s">
        <v>30</v>
      </c>
      <c r="M5" s="421" t="s">
        <v>17</v>
      </c>
      <c r="N5" s="729"/>
    </row>
    <row r="6" spans="1:14" ht="15" customHeight="1">
      <c r="A6" s="724" t="s">
        <v>1135</v>
      </c>
      <c r="B6" s="725"/>
      <c r="C6" s="725"/>
      <c r="D6" s="725"/>
      <c r="E6" s="725"/>
      <c r="F6" s="725"/>
      <c r="G6" s="725"/>
      <c r="H6" s="725"/>
      <c r="I6" s="725"/>
      <c r="J6" s="725"/>
      <c r="K6" s="725"/>
      <c r="L6" s="725"/>
      <c r="M6" s="725"/>
      <c r="N6" s="726"/>
    </row>
    <row r="7" spans="1:14">
      <c r="A7" s="423" t="s">
        <v>70</v>
      </c>
      <c r="B7" s="424">
        <v>1291.4000000000001</v>
      </c>
      <c r="C7" s="425">
        <v>372</v>
      </c>
      <c r="D7" s="425">
        <v>1717</v>
      </c>
      <c r="E7" s="425">
        <f>F7-C7-D7</f>
        <v>70190</v>
      </c>
      <c r="F7" s="425">
        <v>72279</v>
      </c>
      <c r="G7" s="424">
        <v>25.77</v>
      </c>
      <c r="H7" s="425">
        <v>16807</v>
      </c>
      <c r="I7" s="424">
        <v>467.63</v>
      </c>
      <c r="J7" s="425">
        <v>9024</v>
      </c>
      <c r="K7" s="424">
        <v>715.25</v>
      </c>
      <c r="L7" s="426">
        <f>F7+H7+J7</f>
        <v>98110</v>
      </c>
      <c r="M7" s="427">
        <f>G7+I7+K7</f>
        <v>1208.6500000000001</v>
      </c>
      <c r="N7" s="428">
        <f>M7*100/B7</f>
        <v>93.59222549171443</v>
      </c>
    </row>
    <row r="8" spans="1:14">
      <c r="A8" s="423" t="s">
        <v>469</v>
      </c>
      <c r="B8" s="424">
        <v>8.9600000000000009</v>
      </c>
      <c r="C8" s="425">
        <v>0</v>
      </c>
      <c r="D8" s="425">
        <v>0</v>
      </c>
      <c r="E8" s="425">
        <f t="shared" ref="E8:E61" si="0">F8-C8-D8</f>
        <v>69</v>
      </c>
      <c r="F8" s="425">
        <v>69</v>
      </c>
      <c r="G8" s="424">
        <v>0.25</v>
      </c>
      <c r="H8" s="425">
        <v>332</v>
      </c>
      <c r="I8" s="424">
        <v>10.62</v>
      </c>
      <c r="J8" s="425">
        <v>219</v>
      </c>
      <c r="K8" s="424">
        <v>18.059999999999999</v>
      </c>
      <c r="L8" s="426">
        <f t="shared" ref="L8:M61" si="1">F8+H8+J8</f>
        <v>620</v>
      </c>
      <c r="M8" s="427">
        <f t="shared" si="1"/>
        <v>28.93</v>
      </c>
      <c r="N8" s="428">
        <f t="shared" ref="N8:N63" si="2">M8*100/B8</f>
        <v>322.87946428571428</v>
      </c>
    </row>
    <row r="9" spans="1:14">
      <c r="A9" s="423" t="s">
        <v>474</v>
      </c>
      <c r="B9" s="424">
        <v>7</v>
      </c>
      <c r="C9" s="425">
        <v>0</v>
      </c>
      <c r="D9" s="425">
        <v>0</v>
      </c>
      <c r="E9" s="425">
        <f t="shared" si="0"/>
        <v>29</v>
      </c>
      <c r="F9" s="425">
        <v>29</v>
      </c>
      <c r="G9" s="424">
        <v>0.11</v>
      </c>
      <c r="H9" s="425">
        <v>52</v>
      </c>
      <c r="I9" s="424">
        <v>1.58</v>
      </c>
      <c r="J9" s="425">
        <v>40</v>
      </c>
      <c r="K9" s="424">
        <v>3.57</v>
      </c>
      <c r="L9" s="426">
        <f t="shared" si="1"/>
        <v>121</v>
      </c>
      <c r="M9" s="427">
        <f t="shared" si="1"/>
        <v>5.26</v>
      </c>
      <c r="N9" s="428">
        <f t="shared" si="2"/>
        <v>75.142857142857139</v>
      </c>
    </row>
    <row r="10" spans="1:14">
      <c r="A10" s="423" t="s">
        <v>1136</v>
      </c>
      <c r="B10" s="424">
        <v>1.5</v>
      </c>
      <c r="C10" s="425">
        <v>0</v>
      </c>
      <c r="D10" s="425">
        <v>0</v>
      </c>
      <c r="E10" s="425">
        <f t="shared" si="0"/>
        <v>12</v>
      </c>
      <c r="F10" s="425">
        <v>12</v>
      </c>
      <c r="G10" s="424">
        <v>0.04</v>
      </c>
      <c r="H10" s="425">
        <v>31</v>
      </c>
      <c r="I10" s="424">
        <v>0.72</v>
      </c>
      <c r="J10" s="425">
        <v>25</v>
      </c>
      <c r="K10" s="424">
        <v>2.2999999999999998</v>
      </c>
      <c r="L10" s="426">
        <f t="shared" si="1"/>
        <v>68</v>
      </c>
      <c r="M10" s="427">
        <f t="shared" si="1"/>
        <v>3.0599999999999996</v>
      </c>
      <c r="N10" s="428">
        <f t="shared" si="2"/>
        <v>203.99999999999997</v>
      </c>
    </row>
    <row r="11" spans="1:14">
      <c r="A11" s="423" t="s">
        <v>1137</v>
      </c>
      <c r="B11" s="424">
        <v>15.28</v>
      </c>
      <c r="C11" s="425">
        <v>0</v>
      </c>
      <c r="D11" s="425">
        <v>0</v>
      </c>
      <c r="E11" s="425">
        <f t="shared" si="0"/>
        <v>21</v>
      </c>
      <c r="F11" s="425">
        <v>21</v>
      </c>
      <c r="G11" s="424">
        <v>0.06</v>
      </c>
      <c r="H11" s="425">
        <v>69</v>
      </c>
      <c r="I11" s="424">
        <v>2.02</v>
      </c>
      <c r="J11" s="425">
        <v>66</v>
      </c>
      <c r="K11" s="424">
        <v>5.96</v>
      </c>
      <c r="L11" s="426">
        <f t="shared" si="1"/>
        <v>156</v>
      </c>
      <c r="M11" s="427">
        <f t="shared" si="1"/>
        <v>8.0399999999999991</v>
      </c>
      <c r="N11" s="428">
        <f t="shared" si="2"/>
        <v>52.617801047120416</v>
      </c>
    </row>
    <row r="12" spans="1:14">
      <c r="A12" s="423" t="s">
        <v>1138</v>
      </c>
      <c r="B12" s="424">
        <v>2</v>
      </c>
      <c r="C12" s="425">
        <v>0</v>
      </c>
      <c r="D12" s="425">
        <v>0</v>
      </c>
      <c r="E12" s="425">
        <f t="shared" si="0"/>
        <v>3</v>
      </c>
      <c r="F12" s="425">
        <v>3</v>
      </c>
      <c r="G12" s="424">
        <v>0.01</v>
      </c>
      <c r="H12" s="425">
        <v>12</v>
      </c>
      <c r="I12" s="424">
        <v>0.28000000000000003</v>
      </c>
      <c r="J12" s="425">
        <v>2</v>
      </c>
      <c r="K12" s="424">
        <v>0.15</v>
      </c>
      <c r="L12" s="426">
        <f t="shared" si="1"/>
        <v>17</v>
      </c>
      <c r="M12" s="427">
        <f t="shared" si="1"/>
        <v>0.44000000000000006</v>
      </c>
      <c r="N12" s="428">
        <f t="shared" si="2"/>
        <v>22.000000000000004</v>
      </c>
    </row>
    <row r="13" spans="1:14" s="434" customFormat="1">
      <c r="A13" s="429" t="s">
        <v>1</v>
      </c>
      <c r="B13" s="430">
        <f>SUM(B7:B12)</f>
        <v>1326.14</v>
      </c>
      <c r="C13" s="431">
        <f>SUM(C7:C12)</f>
        <v>372</v>
      </c>
      <c r="D13" s="429">
        <f t="shared" ref="D13:E13" si="3">SUM(D7:D12)</f>
        <v>1717</v>
      </c>
      <c r="E13" s="429">
        <f t="shared" si="3"/>
        <v>70324</v>
      </c>
      <c r="F13" s="429">
        <f>SUM(F7:F12)</f>
        <v>72413</v>
      </c>
      <c r="G13" s="430">
        <f t="shared" ref="G13:M13" si="4">SUM(G7:G12)</f>
        <v>26.24</v>
      </c>
      <c r="H13" s="429">
        <f t="shared" si="4"/>
        <v>17303</v>
      </c>
      <c r="I13" s="430">
        <f t="shared" si="4"/>
        <v>482.84999999999997</v>
      </c>
      <c r="J13" s="429">
        <f t="shared" si="4"/>
        <v>9376</v>
      </c>
      <c r="K13" s="430">
        <f t="shared" si="4"/>
        <v>745.29</v>
      </c>
      <c r="L13" s="431">
        <f t="shared" si="4"/>
        <v>99092</v>
      </c>
      <c r="M13" s="432">
        <f t="shared" si="4"/>
        <v>1254.3800000000001</v>
      </c>
      <c r="N13" s="433">
        <f t="shared" si="2"/>
        <v>94.588806611669966</v>
      </c>
    </row>
    <row r="14" spans="1:14" ht="15" customHeight="1">
      <c r="A14" s="725" t="s">
        <v>1139</v>
      </c>
      <c r="B14" s="725"/>
      <c r="C14" s="725"/>
      <c r="D14" s="725"/>
      <c r="E14" s="725"/>
      <c r="F14" s="725"/>
      <c r="G14" s="725"/>
      <c r="H14" s="725"/>
      <c r="I14" s="725"/>
      <c r="J14" s="725"/>
      <c r="K14" s="725"/>
      <c r="L14" s="725"/>
      <c r="M14" s="725"/>
      <c r="N14" s="726"/>
    </row>
    <row r="15" spans="1:14">
      <c r="A15" s="423" t="s">
        <v>55</v>
      </c>
      <c r="B15" s="424">
        <v>144</v>
      </c>
      <c r="C15" s="425">
        <v>40</v>
      </c>
      <c r="D15" s="425">
        <v>415</v>
      </c>
      <c r="E15" s="425">
        <f t="shared" ref="E15:E35" si="5">F15-C15-D15</f>
        <v>1146</v>
      </c>
      <c r="F15" s="425">
        <v>1601</v>
      </c>
      <c r="G15" s="424">
        <v>4.95</v>
      </c>
      <c r="H15" s="425">
        <v>3000</v>
      </c>
      <c r="I15" s="424">
        <v>65.739999999999995</v>
      </c>
      <c r="J15" s="425">
        <v>916</v>
      </c>
      <c r="K15" s="424">
        <v>59.31</v>
      </c>
      <c r="L15" s="426">
        <f t="shared" ref="L15:M35" si="6">F15+H15+J15</f>
        <v>5517</v>
      </c>
      <c r="M15" s="427">
        <f t="shared" si="6"/>
        <v>130</v>
      </c>
      <c r="N15" s="428">
        <f t="shared" ref="N15:N35" si="7">M15*100/B15</f>
        <v>90.277777777777771</v>
      </c>
    </row>
    <row r="16" spans="1:14">
      <c r="A16" s="423" t="s">
        <v>56</v>
      </c>
      <c r="B16" s="424">
        <v>35</v>
      </c>
      <c r="C16" s="425">
        <v>2</v>
      </c>
      <c r="D16" s="425">
        <v>10</v>
      </c>
      <c r="E16" s="425">
        <f t="shared" si="5"/>
        <v>329</v>
      </c>
      <c r="F16" s="425">
        <v>341</v>
      </c>
      <c r="G16" s="424">
        <v>1.17</v>
      </c>
      <c r="H16" s="425">
        <v>599</v>
      </c>
      <c r="I16" s="424">
        <v>13.42</v>
      </c>
      <c r="J16" s="425">
        <v>185</v>
      </c>
      <c r="K16" s="424">
        <v>14.11</v>
      </c>
      <c r="L16" s="426">
        <f t="shared" si="6"/>
        <v>1125</v>
      </c>
      <c r="M16" s="427">
        <f t="shared" si="6"/>
        <v>28.7</v>
      </c>
      <c r="N16" s="428">
        <f t="shared" si="7"/>
        <v>82</v>
      </c>
    </row>
    <row r="17" spans="1:14">
      <c r="A17" s="423" t="s">
        <v>57</v>
      </c>
      <c r="B17" s="424">
        <v>177</v>
      </c>
      <c r="C17" s="425">
        <v>112</v>
      </c>
      <c r="D17" s="425">
        <v>392</v>
      </c>
      <c r="E17" s="425">
        <f t="shared" si="5"/>
        <v>1101</v>
      </c>
      <c r="F17" s="425">
        <v>1605</v>
      </c>
      <c r="G17" s="424">
        <v>4.09</v>
      </c>
      <c r="H17" s="425">
        <v>2841</v>
      </c>
      <c r="I17" s="424">
        <v>60.48</v>
      </c>
      <c r="J17" s="425">
        <v>1027</v>
      </c>
      <c r="K17" s="424">
        <v>75.37</v>
      </c>
      <c r="L17" s="426">
        <f t="shared" si="6"/>
        <v>5473</v>
      </c>
      <c r="M17" s="427">
        <f t="shared" si="6"/>
        <v>139.94</v>
      </c>
      <c r="N17" s="428">
        <f t="shared" si="7"/>
        <v>79.062146892655363</v>
      </c>
    </row>
    <row r="18" spans="1:14">
      <c r="A18" s="423" t="s">
        <v>58</v>
      </c>
      <c r="B18" s="424">
        <v>423</v>
      </c>
      <c r="C18" s="425">
        <v>364</v>
      </c>
      <c r="D18" s="425">
        <v>1952</v>
      </c>
      <c r="E18" s="425">
        <f t="shared" si="5"/>
        <v>6577</v>
      </c>
      <c r="F18" s="425">
        <v>8893</v>
      </c>
      <c r="G18" s="424">
        <v>34.26</v>
      </c>
      <c r="H18" s="425">
        <v>9530</v>
      </c>
      <c r="I18" s="424">
        <v>221.83</v>
      </c>
      <c r="J18" s="425">
        <v>2454</v>
      </c>
      <c r="K18" s="424">
        <v>184.74</v>
      </c>
      <c r="L18" s="426">
        <f t="shared" si="6"/>
        <v>20877</v>
      </c>
      <c r="M18" s="427">
        <f t="shared" si="6"/>
        <v>440.83000000000004</v>
      </c>
      <c r="N18" s="428">
        <f t="shared" si="7"/>
        <v>104.21513002364068</v>
      </c>
    </row>
    <row r="19" spans="1:14">
      <c r="A19" s="423" t="s">
        <v>59</v>
      </c>
      <c r="B19" s="424">
        <v>120</v>
      </c>
      <c r="C19" s="425">
        <v>0</v>
      </c>
      <c r="D19" s="425">
        <v>0</v>
      </c>
      <c r="E19" s="425">
        <f t="shared" si="5"/>
        <v>1350</v>
      </c>
      <c r="F19" s="425">
        <v>1350</v>
      </c>
      <c r="G19" s="424">
        <v>3.7</v>
      </c>
      <c r="H19" s="425">
        <v>2892</v>
      </c>
      <c r="I19" s="424">
        <v>61.09</v>
      </c>
      <c r="J19" s="425">
        <v>888</v>
      </c>
      <c r="K19" s="424">
        <v>66.37</v>
      </c>
      <c r="L19" s="426">
        <f t="shared" si="6"/>
        <v>5130</v>
      </c>
      <c r="M19" s="427">
        <f t="shared" si="6"/>
        <v>131.16000000000003</v>
      </c>
      <c r="N19" s="428">
        <f t="shared" si="7"/>
        <v>109.30000000000001</v>
      </c>
    </row>
    <row r="20" spans="1:14">
      <c r="A20" s="423" t="s">
        <v>68</v>
      </c>
      <c r="B20" s="424">
        <v>1.5</v>
      </c>
      <c r="C20" s="425">
        <v>0</v>
      </c>
      <c r="D20" s="425">
        <v>0</v>
      </c>
      <c r="E20" s="425">
        <f t="shared" si="5"/>
        <v>148</v>
      </c>
      <c r="F20" s="425">
        <v>148</v>
      </c>
      <c r="G20" s="424">
        <v>0.38</v>
      </c>
      <c r="H20" s="425">
        <v>19</v>
      </c>
      <c r="I20" s="424">
        <v>0.3</v>
      </c>
      <c r="J20" s="425">
        <v>1</v>
      </c>
      <c r="K20" s="424">
        <v>0.01</v>
      </c>
      <c r="L20" s="426">
        <f t="shared" si="6"/>
        <v>168</v>
      </c>
      <c r="M20" s="427">
        <f t="shared" si="6"/>
        <v>0.69</v>
      </c>
      <c r="N20" s="428">
        <f t="shared" si="7"/>
        <v>46</v>
      </c>
    </row>
    <row r="21" spans="1:14" s="434" customFormat="1">
      <c r="A21" s="423" t="s">
        <v>60</v>
      </c>
      <c r="B21" s="435">
        <v>250</v>
      </c>
      <c r="C21" s="436">
        <v>0</v>
      </c>
      <c r="D21" s="436">
        <v>0</v>
      </c>
      <c r="E21" s="436">
        <f t="shared" si="5"/>
        <v>4104</v>
      </c>
      <c r="F21" s="436">
        <v>4104</v>
      </c>
      <c r="G21" s="435">
        <v>13.73</v>
      </c>
      <c r="H21" s="436">
        <v>5275</v>
      </c>
      <c r="I21" s="435">
        <v>110.21</v>
      </c>
      <c r="J21" s="436">
        <v>1083</v>
      </c>
      <c r="K21" s="435">
        <v>79.11</v>
      </c>
      <c r="L21" s="437">
        <f t="shared" si="6"/>
        <v>10462</v>
      </c>
      <c r="M21" s="438">
        <f t="shared" si="6"/>
        <v>203.05</v>
      </c>
      <c r="N21" s="428">
        <f t="shared" si="7"/>
        <v>81.22</v>
      </c>
    </row>
    <row r="22" spans="1:14">
      <c r="A22" s="439" t="s">
        <v>61</v>
      </c>
      <c r="B22" s="440">
        <v>252.66</v>
      </c>
      <c r="C22" s="441">
        <v>177</v>
      </c>
      <c r="D22" s="441">
        <v>1257</v>
      </c>
      <c r="E22" s="441">
        <f t="shared" si="5"/>
        <v>2574</v>
      </c>
      <c r="F22" s="441">
        <v>4008</v>
      </c>
      <c r="G22" s="440">
        <v>14.94</v>
      </c>
      <c r="H22" s="441">
        <v>5739</v>
      </c>
      <c r="I22" s="440">
        <v>131.19</v>
      </c>
      <c r="J22" s="441">
        <v>1834</v>
      </c>
      <c r="K22" s="440">
        <v>154.72999999999999</v>
      </c>
      <c r="L22" s="442">
        <f t="shared" si="6"/>
        <v>11581</v>
      </c>
      <c r="M22" s="443">
        <f t="shared" si="6"/>
        <v>300.86</v>
      </c>
      <c r="N22" s="428">
        <f t="shared" si="7"/>
        <v>119.0770205018602</v>
      </c>
    </row>
    <row r="23" spans="1:14">
      <c r="A23" s="439" t="s">
        <v>48</v>
      </c>
      <c r="B23" s="440">
        <v>30</v>
      </c>
      <c r="C23" s="441">
        <v>0</v>
      </c>
      <c r="D23" s="441">
        <v>0</v>
      </c>
      <c r="E23" s="441">
        <f t="shared" si="5"/>
        <v>821</v>
      </c>
      <c r="F23" s="441">
        <v>821</v>
      </c>
      <c r="G23" s="440">
        <v>1.89</v>
      </c>
      <c r="H23" s="441">
        <v>785</v>
      </c>
      <c r="I23" s="440">
        <v>15.4</v>
      </c>
      <c r="J23" s="441">
        <v>320</v>
      </c>
      <c r="K23" s="440">
        <v>20.58</v>
      </c>
      <c r="L23" s="442">
        <f t="shared" si="6"/>
        <v>1926</v>
      </c>
      <c r="M23" s="443">
        <f t="shared" si="6"/>
        <v>37.869999999999997</v>
      </c>
      <c r="N23" s="428">
        <f t="shared" si="7"/>
        <v>126.23333333333332</v>
      </c>
    </row>
    <row r="24" spans="1:14">
      <c r="A24" s="439" t="s">
        <v>49</v>
      </c>
      <c r="B24" s="440">
        <v>38.99</v>
      </c>
      <c r="C24" s="441">
        <v>0</v>
      </c>
      <c r="D24" s="441">
        <v>0</v>
      </c>
      <c r="E24" s="441">
        <f t="shared" si="5"/>
        <v>2059</v>
      </c>
      <c r="F24" s="441">
        <v>2059</v>
      </c>
      <c r="G24" s="440">
        <v>1.4</v>
      </c>
      <c r="H24" s="441">
        <v>779</v>
      </c>
      <c r="I24" s="440">
        <v>14.1</v>
      </c>
      <c r="J24" s="441">
        <v>193</v>
      </c>
      <c r="K24" s="440">
        <v>12.89</v>
      </c>
      <c r="L24" s="442">
        <f t="shared" si="6"/>
        <v>3031</v>
      </c>
      <c r="M24" s="443">
        <f t="shared" si="6"/>
        <v>28.39</v>
      </c>
      <c r="N24" s="428">
        <f t="shared" si="7"/>
        <v>72.813541933829185</v>
      </c>
    </row>
    <row r="25" spans="1:14">
      <c r="A25" s="439" t="s">
        <v>1140</v>
      </c>
      <c r="B25" s="440">
        <v>74.650000000000006</v>
      </c>
      <c r="C25" s="441">
        <v>27</v>
      </c>
      <c r="D25" s="441">
        <v>118</v>
      </c>
      <c r="E25" s="441">
        <f t="shared" si="5"/>
        <v>15306</v>
      </c>
      <c r="F25" s="441">
        <v>15451</v>
      </c>
      <c r="G25" s="440">
        <v>34.1</v>
      </c>
      <c r="H25" s="441">
        <v>1068</v>
      </c>
      <c r="I25" s="440">
        <v>27.99</v>
      </c>
      <c r="J25" s="441">
        <v>279</v>
      </c>
      <c r="K25" s="440">
        <v>21.44</v>
      </c>
      <c r="L25" s="442">
        <f t="shared" si="6"/>
        <v>16798</v>
      </c>
      <c r="M25" s="443">
        <f t="shared" si="6"/>
        <v>83.53</v>
      </c>
      <c r="N25" s="428">
        <f t="shared" si="7"/>
        <v>111.89551239115873</v>
      </c>
    </row>
    <row r="26" spans="1:14">
      <c r="A26" s="439" t="s">
        <v>62</v>
      </c>
      <c r="B26" s="440">
        <v>20</v>
      </c>
      <c r="C26" s="441">
        <v>31</v>
      </c>
      <c r="D26" s="441">
        <v>32</v>
      </c>
      <c r="E26" s="441">
        <f t="shared" si="5"/>
        <v>2450</v>
      </c>
      <c r="F26" s="441">
        <v>2513</v>
      </c>
      <c r="G26" s="440">
        <v>1.1599999999999999</v>
      </c>
      <c r="H26" s="441">
        <v>673</v>
      </c>
      <c r="I26" s="440">
        <v>14.13</v>
      </c>
      <c r="J26" s="441">
        <v>178</v>
      </c>
      <c r="K26" s="440">
        <v>13.12</v>
      </c>
      <c r="L26" s="442">
        <f t="shared" si="6"/>
        <v>3364</v>
      </c>
      <c r="M26" s="443">
        <f t="shared" si="6"/>
        <v>28.41</v>
      </c>
      <c r="N26" s="428">
        <f t="shared" si="7"/>
        <v>142.05000000000001</v>
      </c>
    </row>
    <row r="27" spans="1:14">
      <c r="A27" s="439" t="s">
        <v>63</v>
      </c>
      <c r="B27" s="440">
        <v>37.450000000000003</v>
      </c>
      <c r="C27" s="441">
        <v>387</v>
      </c>
      <c r="D27" s="441">
        <v>0</v>
      </c>
      <c r="E27" s="441">
        <f t="shared" si="5"/>
        <v>0</v>
      </c>
      <c r="F27" s="441">
        <v>387</v>
      </c>
      <c r="G27" s="440">
        <v>3.01</v>
      </c>
      <c r="H27" s="441">
        <v>597</v>
      </c>
      <c r="I27" s="440">
        <v>12.32</v>
      </c>
      <c r="J27" s="441">
        <v>230</v>
      </c>
      <c r="K27" s="440">
        <v>14.66</v>
      </c>
      <c r="L27" s="442">
        <f t="shared" si="6"/>
        <v>1214</v>
      </c>
      <c r="M27" s="443">
        <f t="shared" si="6"/>
        <v>29.990000000000002</v>
      </c>
      <c r="N27" s="428">
        <f t="shared" si="7"/>
        <v>80.080106809078771</v>
      </c>
    </row>
    <row r="28" spans="1:14">
      <c r="A28" s="439" t="s">
        <v>82</v>
      </c>
      <c r="B28" s="440">
        <v>64.25</v>
      </c>
      <c r="C28" s="441">
        <v>104</v>
      </c>
      <c r="D28" s="441">
        <v>188</v>
      </c>
      <c r="E28" s="441">
        <f t="shared" si="5"/>
        <v>423</v>
      </c>
      <c r="F28" s="441">
        <v>715</v>
      </c>
      <c r="G28" s="440">
        <v>1.49</v>
      </c>
      <c r="H28" s="441">
        <v>1090</v>
      </c>
      <c r="I28" s="440">
        <v>25.25</v>
      </c>
      <c r="J28" s="441">
        <v>383</v>
      </c>
      <c r="K28" s="440">
        <v>29.78</v>
      </c>
      <c r="L28" s="442">
        <f t="shared" si="6"/>
        <v>2188</v>
      </c>
      <c r="M28" s="443">
        <f t="shared" si="6"/>
        <v>56.519999999999996</v>
      </c>
      <c r="N28" s="428">
        <f t="shared" si="7"/>
        <v>87.968871595330739</v>
      </c>
    </row>
    <row r="29" spans="1:14">
      <c r="A29" s="439" t="s">
        <v>83</v>
      </c>
      <c r="B29" s="440">
        <v>35</v>
      </c>
      <c r="C29" s="441"/>
      <c r="D29" s="441"/>
      <c r="E29" s="441">
        <f t="shared" si="5"/>
        <v>301</v>
      </c>
      <c r="F29" s="441">
        <v>301</v>
      </c>
      <c r="G29" s="440">
        <v>0.75</v>
      </c>
      <c r="H29" s="441">
        <v>523</v>
      </c>
      <c r="I29" s="440">
        <v>10.89</v>
      </c>
      <c r="J29" s="441">
        <v>163</v>
      </c>
      <c r="K29" s="440">
        <v>11.09</v>
      </c>
      <c r="L29" s="442">
        <f t="shared" si="6"/>
        <v>987</v>
      </c>
      <c r="M29" s="443">
        <f t="shared" si="6"/>
        <v>22.73</v>
      </c>
      <c r="N29" s="428">
        <f t="shared" si="7"/>
        <v>64.942857142857136</v>
      </c>
    </row>
    <row r="30" spans="1:14">
      <c r="A30" s="439" t="s">
        <v>64</v>
      </c>
      <c r="B30" s="440">
        <v>295</v>
      </c>
      <c r="C30" s="441">
        <v>157</v>
      </c>
      <c r="D30" s="441">
        <v>1270</v>
      </c>
      <c r="E30" s="441">
        <f t="shared" si="5"/>
        <v>66901</v>
      </c>
      <c r="F30" s="441">
        <v>68328</v>
      </c>
      <c r="G30" s="440">
        <v>23.64</v>
      </c>
      <c r="H30" s="441">
        <v>9781</v>
      </c>
      <c r="I30" s="440">
        <v>157.34</v>
      </c>
      <c r="J30" s="441">
        <v>2184</v>
      </c>
      <c r="K30" s="440">
        <v>142.47</v>
      </c>
      <c r="L30" s="442">
        <f t="shared" si="6"/>
        <v>80293</v>
      </c>
      <c r="M30" s="443">
        <f t="shared" si="6"/>
        <v>323.45000000000005</v>
      </c>
      <c r="N30" s="428">
        <f t="shared" si="7"/>
        <v>109.64406779661019</v>
      </c>
    </row>
    <row r="31" spans="1:14">
      <c r="A31" s="439" t="s">
        <v>65</v>
      </c>
      <c r="B31" s="440">
        <v>78</v>
      </c>
      <c r="C31" s="441">
        <v>96</v>
      </c>
      <c r="D31" s="441">
        <v>216</v>
      </c>
      <c r="E31" s="441">
        <f t="shared" si="5"/>
        <v>643</v>
      </c>
      <c r="F31" s="441">
        <v>955</v>
      </c>
      <c r="G31" s="440">
        <v>2.68</v>
      </c>
      <c r="H31" s="441">
        <v>2659</v>
      </c>
      <c r="I31" s="440">
        <v>62.83</v>
      </c>
      <c r="J31" s="441">
        <v>403</v>
      </c>
      <c r="K31" s="440">
        <v>23.51</v>
      </c>
      <c r="L31" s="442">
        <f t="shared" si="6"/>
        <v>4017</v>
      </c>
      <c r="M31" s="443">
        <f t="shared" si="6"/>
        <v>89.02000000000001</v>
      </c>
      <c r="N31" s="428">
        <f t="shared" si="7"/>
        <v>114.12820512820515</v>
      </c>
    </row>
    <row r="32" spans="1:14">
      <c r="A32" s="439" t="s">
        <v>212</v>
      </c>
      <c r="B32" s="440">
        <v>175</v>
      </c>
      <c r="C32" s="441">
        <v>0</v>
      </c>
      <c r="D32" s="441">
        <v>0</v>
      </c>
      <c r="E32" s="441">
        <f t="shared" si="5"/>
        <v>7374</v>
      </c>
      <c r="F32" s="441">
        <v>7374</v>
      </c>
      <c r="G32" s="440">
        <v>13.89</v>
      </c>
      <c r="H32" s="441">
        <v>2808</v>
      </c>
      <c r="I32" s="440">
        <v>43.51</v>
      </c>
      <c r="J32" s="441">
        <v>333</v>
      </c>
      <c r="K32" s="440">
        <v>24</v>
      </c>
      <c r="L32" s="442">
        <f t="shared" si="6"/>
        <v>10515</v>
      </c>
      <c r="M32" s="443">
        <f t="shared" si="6"/>
        <v>81.400000000000006</v>
      </c>
      <c r="N32" s="428">
        <f t="shared" si="7"/>
        <v>46.51428571428572</v>
      </c>
    </row>
    <row r="33" spans="1:14">
      <c r="A33" s="439" t="s">
        <v>66</v>
      </c>
      <c r="B33" s="440">
        <v>189</v>
      </c>
      <c r="C33" s="441">
        <v>0</v>
      </c>
      <c r="D33" s="441">
        <v>0</v>
      </c>
      <c r="E33" s="441">
        <f t="shared" si="5"/>
        <v>2679</v>
      </c>
      <c r="F33" s="441">
        <v>2679</v>
      </c>
      <c r="G33" s="440">
        <v>7.23</v>
      </c>
      <c r="H33" s="441">
        <v>4571</v>
      </c>
      <c r="I33" s="440">
        <v>87.58</v>
      </c>
      <c r="J33" s="441">
        <v>875</v>
      </c>
      <c r="K33" s="440">
        <v>53.62</v>
      </c>
      <c r="L33" s="442">
        <f t="shared" si="6"/>
        <v>8125</v>
      </c>
      <c r="M33" s="443">
        <f t="shared" si="6"/>
        <v>148.43</v>
      </c>
      <c r="N33" s="428">
        <f t="shared" si="7"/>
        <v>78.534391534391531</v>
      </c>
    </row>
    <row r="34" spans="1:14">
      <c r="A34" s="439" t="s">
        <v>67</v>
      </c>
      <c r="B34" s="440">
        <v>10.65</v>
      </c>
      <c r="C34" s="441"/>
      <c r="D34" s="441"/>
      <c r="E34" s="441">
        <f t="shared" si="5"/>
        <v>98</v>
      </c>
      <c r="F34" s="441">
        <v>98</v>
      </c>
      <c r="G34" s="440">
        <v>0.3</v>
      </c>
      <c r="H34" s="441">
        <v>233</v>
      </c>
      <c r="I34" s="440">
        <v>4.5999999999999996</v>
      </c>
      <c r="J34" s="441">
        <v>46</v>
      </c>
      <c r="K34" s="440">
        <v>3.54</v>
      </c>
      <c r="L34" s="442">
        <f t="shared" si="6"/>
        <v>377</v>
      </c>
      <c r="M34" s="443">
        <f t="shared" si="6"/>
        <v>8.44</v>
      </c>
      <c r="N34" s="428">
        <f t="shared" si="7"/>
        <v>79.248826291079808</v>
      </c>
    </row>
    <row r="35" spans="1:14">
      <c r="A35" s="439" t="s">
        <v>50</v>
      </c>
      <c r="B35" s="440">
        <v>75</v>
      </c>
      <c r="C35" s="441">
        <v>0</v>
      </c>
      <c r="D35" s="441">
        <v>0</v>
      </c>
      <c r="E35" s="441">
        <f t="shared" si="5"/>
        <v>1120</v>
      </c>
      <c r="F35" s="441">
        <v>1120</v>
      </c>
      <c r="G35" s="440">
        <v>4.54</v>
      </c>
      <c r="H35" s="441">
        <v>1615</v>
      </c>
      <c r="I35" s="440">
        <v>38.85</v>
      </c>
      <c r="J35" s="441">
        <v>332</v>
      </c>
      <c r="K35" s="440">
        <v>25.67</v>
      </c>
      <c r="L35" s="442">
        <f t="shared" si="6"/>
        <v>3067</v>
      </c>
      <c r="M35" s="443">
        <f t="shared" si="6"/>
        <v>69.06</v>
      </c>
      <c r="N35" s="428">
        <f t="shared" si="7"/>
        <v>92.08</v>
      </c>
    </row>
    <row r="36" spans="1:14" s="434" customFormat="1">
      <c r="A36" s="444" t="s">
        <v>1</v>
      </c>
      <c r="B36" s="445">
        <f>SUM(B15:B35)</f>
        <v>2526.15</v>
      </c>
      <c r="C36" s="446">
        <f>SUM(C15:C35)</f>
        <v>1497</v>
      </c>
      <c r="D36" s="446">
        <f t="shared" ref="D36:E36" si="8">SUM(D15:D35)</f>
        <v>5850</v>
      </c>
      <c r="E36" s="446">
        <f t="shared" si="8"/>
        <v>117504</v>
      </c>
      <c r="F36" s="446">
        <f>SUM(F15:F35)</f>
        <v>124851</v>
      </c>
      <c r="G36" s="445">
        <f t="shared" ref="G36:M36" si="9">SUM(G15:G35)</f>
        <v>173.3</v>
      </c>
      <c r="H36" s="446">
        <f t="shared" si="9"/>
        <v>57077</v>
      </c>
      <c r="I36" s="445">
        <f t="shared" si="9"/>
        <v>1179.05</v>
      </c>
      <c r="J36" s="446">
        <f t="shared" si="9"/>
        <v>14307</v>
      </c>
      <c r="K36" s="445">
        <f t="shared" si="9"/>
        <v>1030.1200000000001</v>
      </c>
      <c r="L36" s="447">
        <f t="shared" si="9"/>
        <v>196235</v>
      </c>
      <c r="M36" s="448">
        <f t="shared" si="9"/>
        <v>2382.4700000000003</v>
      </c>
      <c r="N36" s="433">
        <f t="shared" si="2"/>
        <v>94.312293410921768</v>
      </c>
    </row>
    <row r="37" spans="1:14" ht="15" customHeight="1">
      <c r="A37" s="724" t="s">
        <v>1141</v>
      </c>
      <c r="B37" s="725"/>
      <c r="C37" s="725"/>
      <c r="D37" s="725"/>
      <c r="E37" s="725"/>
      <c r="F37" s="725"/>
      <c r="G37" s="725"/>
      <c r="H37" s="725"/>
      <c r="I37" s="725"/>
      <c r="J37" s="725"/>
      <c r="K37" s="725"/>
      <c r="L37" s="725"/>
      <c r="M37" s="725"/>
      <c r="N37" s="726"/>
    </row>
    <row r="38" spans="1:14">
      <c r="A38" s="423" t="s">
        <v>47</v>
      </c>
      <c r="B38" s="424"/>
      <c r="C38" s="425">
        <v>60305</v>
      </c>
      <c r="D38" s="425">
        <v>0</v>
      </c>
      <c r="E38" s="425">
        <f t="shared" ref="E38:E53" si="10">F38-C38-D38</f>
        <v>36927</v>
      </c>
      <c r="F38" s="425">
        <v>97232</v>
      </c>
      <c r="G38" s="424">
        <v>195.87</v>
      </c>
      <c r="H38" s="425">
        <v>589</v>
      </c>
      <c r="I38" s="424">
        <v>20.21</v>
      </c>
      <c r="J38" s="425">
        <v>636</v>
      </c>
      <c r="K38" s="424">
        <v>45.05</v>
      </c>
      <c r="L38" s="426">
        <f t="shared" ref="L38:M53" si="11">F38+H38+J38</f>
        <v>98457</v>
      </c>
      <c r="M38" s="427">
        <f t="shared" si="11"/>
        <v>261.13</v>
      </c>
      <c r="N38" s="428">
        <v>0</v>
      </c>
    </row>
    <row r="39" spans="1:14">
      <c r="A39" s="423" t="s">
        <v>214</v>
      </c>
      <c r="B39" s="424"/>
      <c r="C39" s="425">
        <v>0</v>
      </c>
      <c r="D39" s="425">
        <v>19480</v>
      </c>
      <c r="E39" s="425">
        <f t="shared" si="10"/>
        <v>166264</v>
      </c>
      <c r="F39" s="425">
        <v>185744</v>
      </c>
      <c r="G39" s="424">
        <v>677.68</v>
      </c>
      <c r="H39" s="425">
        <v>0</v>
      </c>
      <c r="I39" s="424">
        <v>0</v>
      </c>
      <c r="J39" s="425">
        <v>0</v>
      </c>
      <c r="K39" s="424">
        <v>0</v>
      </c>
      <c r="L39" s="426">
        <f t="shared" si="11"/>
        <v>185744</v>
      </c>
      <c r="M39" s="427">
        <f t="shared" si="11"/>
        <v>677.68</v>
      </c>
      <c r="N39" s="428">
        <v>0</v>
      </c>
    </row>
    <row r="40" spans="1:14">
      <c r="A40" s="423" t="s">
        <v>51</v>
      </c>
      <c r="B40" s="424"/>
      <c r="C40" s="425">
        <v>0</v>
      </c>
      <c r="D40" s="425">
        <v>0</v>
      </c>
      <c r="E40" s="425">
        <f t="shared" si="10"/>
        <v>0</v>
      </c>
      <c r="F40" s="425">
        <v>0</v>
      </c>
      <c r="G40" s="424">
        <v>0</v>
      </c>
      <c r="H40" s="425">
        <v>0</v>
      </c>
      <c r="I40" s="424">
        <v>0</v>
      </c>
      <c r="J40" s="425">
        <v>1</v>
      </c>
      <c r="K40" s="424">
        <v>0.1</v>
      </c>
      <c r="L40" s="426">
        <f t="shared" si="11"/>
        <v>1</v>
      </c>
      <c r="M40" s="427">
        <f t="shared" si="11"/>
        <v>0.1</v>
      </c>
      <c r="N40" s="428">
        <v>0</v>
      </c>
    </row>
    <row r="41" spans="1:14">
      <c r="A41" s="423" t="s">
        <v>95</v>
      </c>
      <c r="B41" s="424"/>
      <c r="C41" s="425">
        <v>0</v>
      </c>
      <c r="D41" s="425">
        <v>0</v>
      </c>
      <c r="E41" s="425">
        <f t="shared" si="10"/>
        <v>6</v>
      </c>
      <c r="F41" s="425">
        <v>6</v>
      </c>
      <c r="G41" s="424">
        <v>0.02</v>
      </c>
      <c r="H41" s="425">
        <v>404</v>
      </c>
      <c r="I41" s="424">
        <v>15.24</v>
      </c>
      <c r="J41" s="425">
        <v>219</v>
      </c>
      <c r="K41" s="424">
        <v>14.75</v>
      </c>
      <c r="L41" s="426">
        <f t="shared" si="11"/>
        <v>629</v>
      </c>
      <c r="M41" s="427">
        <f t="shared" si="11"/>
        <v>30.009999999999998</v>
      </c>
      <c r="N41" s="428">
        <v>0</v>
      </c>
    </row>
    <row r="42" spans="1:14">
      <c r="A42" s="423" t="s">
        <v>252</v>
      </c>
      <c r="B42" s="424"/>
      <c r="C42" s="425">
        <v>1</v>
      </c>
      <c r="D42" s="425">
        <v>0</v>
      </c>
      <c r="E42" s="425">
        <f t="shared" si="10"/>
        <v>32</v>
      </c>
      <c r="F42" s="425">
        <v>33</v>
      </c>
      <c r="G42" s="424">
        <v>0.15</v>
      </c>
      <c r="H42" s="425">
        <v>22</v>
      </c>
      <c r="I42" s="424">
        <v>0.35</v>
      </c>
      <c r="J42" s="425">
        <v>11</v>
      </c>
      <c r="K42" s="424">
        <v>0.78</v>
      </c>
      <c r="L42" s="426">
        <f t="shared" si="11"/>
        <v>66</v>
      </c>
      <c r="M42" s="427">
        <f t="shared" si="11"/>
        <v>1.28</v>
      </c>
      <c r="N42" s="428">
        <v>0</v>
      </c>
    </row>
    <row r="43" spans="1:14">
      <c r="A43" s="423" t="s">
        <v>71</v>
      </c>
      <c r="B43" s="424"/>
      <c r="C43" s="425">
        <v>150</v>
      </c>
      <c r="D43" s="425">
        <v>12528</v>
      </c>
      <c r="E43" s="425">
        <f t="shared" si="10"/>
        <v>56707</v>
      </c>
      <c r="F43" s="425">
        <v>69385</v>
      </c>
      <c r="G43" s="424">
        <v>162.29</v>
      </c>
      <c r="H43" s="425">
        <v>700</v>
      </c>
      <c r="I43" s="424">
        <v>18.16</v>
      </c>
      <c r="J43" s="425">
        <v>361</v>
      </c>
      <c r="K43" s="424">
        <v>24.86</v>
      </c>
      <c r="L43" s="426">
        <f t="shared" si="11"/>
        <v>70446</v>
      </c>
      <c r="M43" s="427">
        <f t="shared" si="11"/>
        <v>205.31</v>
      </c>
      <c r="N43" s="428">
        <v>0</v>
      </c>
    </row>
    <row r="44" spans="1:14">
      <c r="A44" s="423" t="s">
        <v>72</v>
      </c>
      <c r="B44" s="424"/>
      <c r="C44" s="425">
        <v>0</v>
      </c>
      <c r="D44" s="425">
        <v>0</v>
      </c>
      <c r="E44" s="425">
        <f t="shared" si="10"/>
        <v>12505</v>
      </c>
      <c r="F44" s="425">
        <v>12505</v>
      </c>
      <c r="G44" s="424">
        <v>33.51</v>
      </c>
      <c r="H44" s="425">
        <v>164</v>
      </c>
      <c r="I44" s="424">
        <v>3.74</v>
      </c>
      <c r="J44" s="425">
        <v>101</v>
      </c>
      <c r="K44" s="424">
        <v>7.92</v>
      </c>
      <c r="L44" s="426">
        <f t="shared" si="11"/>
        <v>12770</v>
      </c>
      <c r="M44" s="427">
        <f t="shared" si="11"/>
        <v>45.17</v>
      </c>
      <c r="N44" s="428">
        <v>0</v>
      </c>
    </row>
    <row r="45" spans="1:14">
      <c r="A45" s="423" t="s">
        <v>1142</v>
      </c>
      <c r="B45" s="424"/>
      <c r="C45" s="425">
        <v>0</v>
      </c>
      <c r="D45" s="425">
        <v>48938</v>
      </c>
      <c r="E45" s="425">
        <f t="shared" si="10"/>
        <v>6640</v>
      </c>
      <c r="F45" s="425">
        <v>55578</v>
      </c>
      <c r="G45" s="424">
        <v>128.61000000000001</v>
      </c>
      <c r="H45" s="425">
        <v>3984</v>
      </c>
      <c r="I45" s="424">
        <v>27.68</v>
      </c>
      <c r="J45" s="425">
        <v>2</v>
      </c>
      <c r="K45" s="424">
        <v>0.1</v>
      </c>
      <c r="L45" s="426">
        <f t="shared" si="11"/>
        <v>59564</v>
      </c>
      <c r="M45" s="427">
        <f t="shared" si="11"/>
        <v>156.39000000000001</v>
      </c>
      <c r="N45" s="428">
        <v>0</v>
      </c>
    </row>
    <row r="46" spans="1:14">
      <c r="A46" s="423" t="s">
        <v>475</v>
      </c>
      <c r="B46" s="424"/>
      <c r="C46" s="425">
        <v>0</v>
      </c>
      <c r="D46" s="425">
        <v>67963</v>
      </c>
      <c r="E46" s="425">
        <f t="shared" si="10"/>
        <v>30814</v>
      </c>
      <c r="F46" s="425">
        <v>98777</v>
      </c>
      <c r="G46" s="424">
        <v>222.36</v>
      </c>
      <c r="H46" s="425">
        <v>5861</v>
      </c>
      <c r="I46" s="424">
        <v>166.21</v>
      </c>
      <c r="J46" s="425">
        <v>1614</v>
      </c>
      <c r="K46" s="424">
        <v>87.08</v>
      </c>
      <c r="L46" s="426">
        <f t="shared" si="11"/>
        <v>106252</v>
      </c>
      <c r="M46" s="427">
        <f t="shared" si="11"/>
        <v>475.65000000000003</v>
      </c>
      <c r="N46" s="428">
        <v>0</v>
      </c>
    </row>
    <row r="47" spans="1:14">
      <c r="A47" s="423" t="s">
        <v>1143</v>
      </c>
      <c r="B47" s="424"/>
      <c r="C47" s="425">
        <v>0</v>
      </c>
      <c r="D47" s="425">
        <v>0</v>
      </c>
      <c r="E47" s="425">
        <f t="shared" si="10"/>
        <v>8</v>
      </c>
      <c r="F47" s="425">
        <v>8</v>
      </c>
      <c r="G47" s="424">
        <v>0.02</v>
      </c>
      <c r="H47" s="425">
        <v>19</v>
      </c>
      <c r="I47" s="424">
        <v>0.42</v>
      </c>
      <c r="J47" s="425">
        <v>5</v>
      </c>
      <c r="K47" s="424">
        <v>0.39</v>
      </c>
      <c r="L47" s="426">
        <f t="shared" si="11"/>
        <v>32</v>
      </c>
      <c r="M47" s="427">
        <f t="shared" si="11"/>
        <v>0.83000000000000007</v>
      </c>
      <c r="N47" s="428">
        <v>0</v>
      </c>
    </row>
    <row r="48" spans="1:14">
      <c r="A48" s="423" t="s">
        <v>1144</v>
      </c>
      <c r="B48" s="424"/>
      <c r="C48" s="425">
        <v>0</v>
      </c>
      <c r="D48" s="425">
        <v>0</v>
      </c>
      <c r="E48" s="425">
        <f t="shared" si="10"/>
        <v>18</v>
      </c>
      <c r="F48" s="425">
        <v>18</v>
      </c>
      <c r="G48" s="424">
        <v>0.06</v>
      </c>
      <c r="H48" s="425">
        <v>85</v>
      </c>
      <c r="I48" s="424">
        <v>2.1</v>
      </c>
      <c r="J48" s="425">
        <v>37</v>
      </c>
      <c r="K48" s="424">
        <v>2.13</v>
      </c>
      <c r="L48" s="426">
        <f t="shared" si="11"/>
        <v>140</v>
      </c>
      <c r="M48" s="427">
        <f t="shared" si="11"/>
        <v>4.29</v>
      </c>
      <c r="N48" s="428">
        <v>0</v>
      </c>
    </row>
    <row r="49" spans="1:14">
      <c r="A49" s="423" t="s">
        <v>93</v>
      </c>
      <c r="B49" s="424"/>
      <c r="C49" s="425">
        <v>0</v>
      </c>
      <c r="D49" s="425">
        <v>0</v>
      </c>
      <c r="E49" s="425">
        <f t="shared" si="10"/>
        <v>1</v>
      </c>
      <c r="F49" s="425">
        <v>1</v>
      </c>
      <c r="G49" s="424">
        <v>0</v>
      </c>
      <c r="H49" s="425">
        <v>7</v>
      </c>
      <c r="I49" s="424">
        <v>0.13</v>
      </c>
      <c r="J49" s="425">
        <v>5</v>
      </c>
      <c r="K49" s="424">
        <v>0.4</v>
      </c>
      <c r="L49" s="426">
        <f t="shared" si="11"/>
        <v>13</v>
      </c>
      <c r="M49" s="427">
        <f t="shared" si="11"/>
        <v>0.53</v>
      </c>
      <c r="N49" s="428">
        <v>0</v>
      </c>
    </row>
    <row r="50" spans="1:14">
      <c r="A50" s="423" t="s">
        <v>73</v>
      </c>
      <c r="B50" s="424"/>
      <c r="C50" s="425">
        <v>0</v>
      </c>
      <c r="D50" s="425">
        <v>0</v>
      </c>
      <c r="E50" s="425">
        <f t="shared" si="10"/>
        <v>21</v>
      </c>
      <c r="F50" s="425">
        <v>21</v>
      </c>
      <c r="G50" s="424">
        <v>1.24</v>
      </c>
      <c r="H50" s="425">
        <v>51</v>
      </c>
      <c r="I50" s="424">
        <v>1.92</v>
      </c>
      <c r="J50" s="425">
        <v>73</v>
      </c>
      <c r="K50" s="424">
        <v>4.96</v>
      </c>
      <c r="L50" s="426">
        <f t="shared" si="11"/>
        <v>145</v>
      </c>
      <c r="M50" s="427">
        <f t="shared" si="11"/>
        <v>8.120000000000001</v>
      </c>
      <c r="N50" s="428">
        <v>0</v>
      </c>
    </row>
    <row r="51" spans="1:14">
      <c r="A51" s="423" t="s">
        <v>75</v>
      </c>
      <c r="B51" s="424"/>
      <c r="C51" s="425">
        <v>0</v>
      </c>
      <c r="D51" s="425">
        <v>0</v>
      </c>
      <c r="E51" s="425">
        <f t="shared" si="10"/>
        <v>5138</v>
      </c>
      <c r="F51" s="425">
        <v>5138</v>
      </c>
      <c r="G51" s="424">
        <v>11</v>
      </c>
      <c r="H51" s="425">
        <v>543</v>
      </c>
      <c r="I51" s="424">
        <v>15.86</v>
      </c>
      <c r="J51" s="425">
        <v>97</v>
      </c>
      <c r="K51" s="424">
        <v>7.93</v>
      </c>
      <c r="L51" s="426">
        <f t="shared" si="11"/>
        <v>5778</v>
      </c>
      <c r="M51" s="427">
        <f t="shared" si="11"/>
        <v>34.79</v>
      </c>
      <c r="N51" s="428">
        <v>0</v>
      </c>
    </row>
    <row r="52" spans="1:14">
      <c r="A52" s="423" t="s">
        <v>226</v>
      </c>
      <c r="B52" s="424"/>
      <c r="C52" s="425">
        <v>0</v>
      </c>
      <c r="D52" s="425">
        <v>0</v>
      </c>
      <c r="E52" s="425">
        <f t="shared" si="10"/>
        <v>0</v>
      </c>
      <c r="F52" s="425">
        <v>0</v>
      </c>
      <c r="G52" s="424">
        <v>0</v>
      </c>
      <c r="H52" s="425">
        <v>2</v>
      </c>
      <c r="I52" s="424">
        <v>0.09</v>
      </c>
      <c r="J52" s="425">
        <v>5</v>
      </c>
      <c r="K52" s="424">
        <v>0.48</v>
      </c>
      <c r="L52" s="426">
        <f t="shared" si="11"/>
        <v>7</v>
      </c>
      <c r="M52" s="427">
        <f t="shared" si="11"/>
        <v>0.56999999999999995</v>
      </c>
      <c r="N52" s="428">
        <v>0</v>
      </c>
    </row>
    <row r="53" spans="1:14">
      <c r="A53" s="423" t="s">
        <v>76</v>
      </c>
      <c r="B53" s="424"/>
      <c r="C53" s="425">
        <v>0</v>
      </c>
      <c r="D53" s="425">
        <v>3001</v>
      </c>
      <c r="E53" s="425">
        <f t="shared" si="10"/>
        <v>4992</v>
      </c>
      <c r="F53" s="425">
        <v>7993</v>
      </c>
      <c r="G53" s="424">
        <v>20.51</v>
      </c>
      <c r="H53" s="425">
        <v>1560</v>
      </c>
      <c r="I53" s="424">
        <v>31.15</v>
      </c>
      <c r="J53" s="425">
        <v>37</v>
      </c>
      <c r="K53" s="424">
        <v>2.56</v>
      </c>
      <c r="L53" s="426">
        <f t="shared" si="11"/>
        <v>9590</v>
      </c>
      <c r="M53" s="427">
        <f t="shared" si="11"/>
        <v>54.22</v>
      </c>
      <c r="N53" s="428">
        <v>0</v>
      </c>
    </row>
    <row r="54" spans="1:14" s="434" customFormat="1">
      <c r="A54" s="429" t="s">
        <v>1</v>
      </c>
      <c r="B54" s="430">
        <v>555</v>
      </c>
      <c r="C54" s="429">
        <f>SUM(C38:C53)</f>
        <v>60456</v>
      </c>
      <c r="D54" s="429">
        <f t="shared" ref="D54:E54" si="12">SUM(D38:D53)</f>
        <v>151910</v>
      </c>
      <c r="E54" s="429">
        <f t="shared" si="12"/>
        <v>320073</v>
      </c>
      <c r="F54" s="429">
        <f>SUM(F38:F53)</f>
        <v>532439</v>
      </c>
      <c r="G54" s="430">
        <f t="shared" ref="G54:M54" si="13">SUM(G38:G53)</f>
        <v>1453.3200000000002</v>
      </c>
      <c r="H54" s="429">
        <f t="shared" si="13"/>
        <v>13991</v>
      </c>
      <c r="I54" s="430">
        <f t="shared" si="13"/>
        <v>303.26</v>
      </c>
      <c r="J54" s="429">
        <f t="shared" si="13"/>
        <v>3204</v>
      </c>
      <c r="K54" s="430">
        <f t="shared" si="13"/>
        <v>199.48999999999998</v>
      </c>
      <c r="L54" s="431">
        <f t="shared" si="13"/>
        <v>549634</v>
      </c>
      <c r="M54" s="432">
        <f t="shared" si="13"/>
        <v>1956.07</v>
      </c>
      <c r="N54" s="449">
        <v>0</v>
      </c>
    </row>
    <row r="55" spans="1:14" ht="15" customHeight="1">
      <c r="A55" s="450" t="s">
        <v>1145</v>
      </c>
      <c r="B55" s="451"/>
      <c r="C55" s="452"/>
      <c r="D55" s="452"/>
      <c r="E55" s="425">
        <f t="shared" si="0"/>
        <v>0</v>
      </c>
      <c r="F55" s="453"/>
      <c r="G55" s="454"/>
      <c r="H55" s="453"/>
      <c r="I55" s="454"/>
      <c r="J55" s="453"/>
      <c r="L55" s="426">
        <f t="shared" si="1"/>
        <v>0</v>
      </c>
      <c r="M55" s="427">
        <f t="shared" si="1"/>
        <v>0</v>
      </c>
      <c r="N55" s="428">
        <v>0</v>
      </c>
    </row>
    <row r="56" spans="1:14">
      <c r="A56" s="423" t="s">
        <v>77</v>
      </c>
      <c r="B56" s="424"/>
      <c r="C56" s="425">
        <v>0</v>
      </c>
      <c r="D56" s="425">
        <v>0</v>
      </c>
      <c r="E56" s="425">
        <f t="shared" si="0"/>
        <v>0</v>
      </c>
      <c r="F56" s="425">
        <v>0</v>
      </c>
      <c r="G56" s="424">
        <v>0</v>
      </c>
      <c r="H56" s="425">
        <v>0</v>
      </c>
      <c r="I56" s="424">
        <v>0</v>
      </c>
      <c r="J56" s="425">
        <v>1</v>
      </c>
      <c r="K56" s="424">
        <v>0.08</v>
      </c>
      <c r="L56" s="426">
        <f t="shared" si="1"/>
        <v>1</v>
      </c>
      <c r="M56" s="427">
        <f t="shared" si="1"/>
        <v>0.08</v>
      </c>
      <c r="N56" s="428">
        <v>0</v>
      </c>
    </row>
    <row r="57" spans="1:14">
      <c r="A57" s="455" t="s">
        <v>1</v>
      </c>
      <c r="B57" s="456"/>
      <c r="C57" s="455">
        <v>0</v>
      </c>
      <c r="D57" s="455">
        <v>0</v>
      </c>
      <c r="E57" s="425">
        <f t="shared" si="0"/>
        <v>0</v>
      </c>
      <c r="F57" s="455">
        <f>SUM(F56)</f>
        <v>0</v>
      </c>
      <c r="G57" s="456">
        <f t="shared" ref="G57:M57" si="14">SUM(G56)</f>
        <v>0</v>
      </c>
      <c r="H57" s="455">
        <f t="shared" si="14"/>
        <v>0</v>
      </c>
      <c r="I57" s="456">
        <f t="shared" si="14"/>
        <v>0</v>
      </c>
      <c r="J57" s="455">
        <f t="shared" si="14"/>
        <v>1</v>
      </c>
      <c r="K57" s="456">
        <f t="shared" si="14"/>
        <v>0.08</v>
      </c>
      <c r="L57" s="457">
        <f t="shared" si="14"/>
        <v>1</v>
      </c>
      <c r="M57" s="458">
        <f t="shared" si="14"/>
        <v>0.08</v>
      </c>
      <c r="N57" s="428">
        <v>0</v>
      </c>
    </row>
    <row r="58" spans="1:14" ht="15" customHeight="1">
      <c r="A58" s="724" t="s">
        <v>1146</v>
      </c>
      <c r="B58" s="725"/>
      <c r="C58" s="725"/>
      <c r="D58" s="725"/>
      <c r="E58" s="725"/>
      <c r="F58" s="725"/>
      <c r="G58" s="725"/>
      <c r="H58" s="725"/>
      <c r="I58" s="725"/>
      <c r="J58" s="725"/>
      <c r="K58" s="725"/>
      <c r="L58" s="725"/>
      <c r="M58" s="725"/>
      <c r="N58" s="726"/>
    </row>
    <row r="59" spans="1:14">
      <c r="A59" s="423" t="s">
        <v>52</v>
      </c>
      <c r="B59" s="424">
        <v>250</v>
      </c>
      <c r="C59" s="425">
        <v>30</v>
      </c>
      <c r="D59" s="425">
        <v>539</v>
      </c>
      <c r="E59" s="425">
        <f t="shared" si="0"/>
        <v>5021</v>
      </c>
      <c r="F59" s="425">
        <v>5590</v>
      </c>
      <c r="G59" s="424">
        <v>23.07</v>
      </c>
      <c r="H59" s="425">
        <v>6916</v>
      </c>
      <c r="I59" s="424">
        <v>109.12</v>
      </c>
      <c r="J59" s="425">
        <v>467</v>
      </c>
      <c r="K59" s="424">
        <v>28.77</v>
      </c>
      <c r="L59" s="426">
        <f t="shared" si="1"/>
        <v>12973</v>
      </c>
      <c r="M59" s="427">
        <f t="shared" si="1"/>
        <v>160.96</v>
      </c>
      <c r="N59" s="428">
        <f t="shared" si="2"/>
        <v>64.384</v>
      </c>
    </row>
    <row r="60" spans="1:14">
      <c r="A60" s="423" t="s">
        <v>46</v>
      </c>
      <c r="B60" s="424">
        <v>100</v>
      </c>
      <c r="C60" s="425">
        <v>114</v>
      </c>
      <c r="D60" s="425">
        <v>663</v>
      </c>
      <c r="E60" s="425">
        <f t="shared" si="0"/>
        <v>4285</v>
      </c>
      <c r="F60" s="425">
        <v>5062</v>
      </c>
      <c r="G60" s="424">
        <v>20.350000000000001</v>
      </c>
      <c r="H60" s="425">
        <v>884</v>
      </c>
      <c r="I60" s="424">
        <v>14.54</v>
      </c>
      <c r="J60" s="425">
        <v>200</v>
      </c>
      <c r="K60" s="424">
        <v>14.16</v>
      </c>
      <c r="L60" s="426">
        <f t="shared" si="1"/>
        <v>6146</v>
      </c>
      <c r="M60" s="427">
        <f t="shared" si="1"/>
        <v>49.05</v>
      </c>
      <c r="N60" s="428">
        <f t="shared" si="2"/>
        <v>49.05</v>
      </c>
    </row>
    <row r="61" spans="1:14">
      <c r="A61" s="423" t="s">
        <v>228</v>
      </c>
      <c r="B61" s="424">
        <v>150</v>
      </c>
      <c r="C61" s="425">
        <v>437</v>
      </c>
      <c r="D61" s="425">
        <v>1400</v>
      </c>
      <c r="E61" s="425">
        <f t="shared" si="0"/>
        <v>9700</v>
      </c>
      <c r="F61" s="425">
        <v>11537</v>
      </c>
      <c r="G61" s="424">
        <v>36.049999999999997</v>
      </c>
      <c r="H61" s="425">
        <v>3771</v>
      </c>
      <c r="I61" s="424">
        <v>59.92</v>
      </c>
      <c r="J61" s="425">
        <v>111</v>
      </c>
      <c r="K61" s="424">
        <v>8.11</v>
      </c>
      <c r="L61" s="426">
        <f t="shared" si="1"/>
        <v>15419</v>
      </c>
      <c r="M61" s="427">
        <f t="shared" si="1"/>
        <v>104.08</v>
      </c>
      <c r="N61" s="428">
        <f t="shared" si="2"/>
        <v>69.38666666666667</v>
      </c>
    </row>
    <row r="62" spans="1:14">
      <c r="A62" s="459" t="s">
        <v>1</v>
      </c>
      <c r="B62" s="460">
        <f>SUM(B59:B61)</f>
        <v>500</v>
      </c>
      <c r="C62" s="459">
        <f>SUM(C59:C61)</f>
        <v>581</v>
      </c>
      <c r="D62" s="459">
        <f t="shared" ref="D62:E62" si="15">SUM(D59:D61)</f>
        <v>2602</v>
      </c>
      <c r="E62" s="459">
        <f t="shared" si="15"/>
        <v>19006</v>
      </c>
      <c r="F62" s="459">
        <f>SUM(F59:F61)</f>
        <v>22189</v>
      </c>
      <c r="G62" s="460">
        <f t="shared" ref="G62:M62" si="16">SUM(G59:G61)</f>
        <v>79.47</v>
      </c>
      <c r="H62" s="459">
        <f t="shared" si="16"/>
        <v>11571</v>
      </c>
      <c r="I62" s="460">
        <f t="shared" si="16"/>
        <v>183.57999999999998</v>
      </c>
      <c r="J62" s="459">
        <f t="shared" si="16"/>
        <v>778</v>
      </c>
      <c r="K62" s="460">
        <f t="shared" si="16"/>
        <v>51.04</v>
      </c>
      <c r="L62" s="461">
        <f t="shared" si="16"/>
        <v>34538</v>
      </c>
      <c r="M62" s="462">
        <f t="shared" si="16"/>
        <v>314.08999999999997</v>
      </c>
      <c r="N62" s="449">
        <f t="shared" si="2"/>
        <v>62.817999999999991</v>
      </c>
    </row>
    <row r="63" spans="1:14" s="11" customFormat="1" ht="15">
      <c r="A63" s="463" t="s">
        <v>1147</v>
      </c>
      <c r="B63" s="464">
        <f t="shared" ref="B63:M63" si="17">B62+B57+B54+B36+B13</f>
        <v>4907.29</v>
      </c>
      <c r="C63" s="465">
        <f t="shared" si="17"/>
        <v>62906</v>
      </c>
      <c r="D63" s="465">
        <f t="shared" si="17"/>
        <v>162079</v>
      </c>
      <c r="E63" s="465">
        <f t="shared" si="17"/>
        <v>526907</v>
      </c>
      <c r="F63" s="463">
        <f t="shared" si="17"/>
        <v>751892</v>
      </c>
      <c r="G63" s="466">
        <f t="shared" si="17"/>
        <v>1732.3300000000002</v>
      </c>
      <c r="H63" s="463">
        <f t="shared" si="17"/>
        <v>99942</v>
      </c>
      <c r="I63" s="466">
        <f t="shared" si="17"/>
        <v>2148.7399999999998</v>
      </c>
      <c r="J63" s="463">
        <f t="shared" si="17"/>
        <v>27666</v>
      </c>
      <c r="K63" s="466">
        <f t="shared" si="17"/>
        <v>2026.02</v>
      </c>
      <c r="L63" s="467">
        <f t="shared" si="17"/>
        <v>879500</v>
      </c>
      <c r="M63" s="468">
        <f t="shared" si="17"/>
        <v>5907.09</v>
      </c>
      <c r="N63" s="466">
        <f t="shared" si="2"/>
        <v>120.37377045171571</v>
      </c>
    </row>
    <row r="64" spans="1:14" s="11" customFormat="1" ht="15">
      <c r="A64" s="469"/>
      <c r="B64" s="470"/>
      <c r="C64" s="471"/>
      <c r="D64" s="471"/>
      <c r="E64" s="471"/>
      <c r="F64" s="469"/>
      <c r="G64" s="472"/>
      <c r="H64" s="469"/>
      <c r="I64" s="472"/>
      <c r="J64" s="469"/>
      <c r="K64" s="472"/>
      <c r="L64" s="473"/>
      <c r="M64" s="472"/>
      <c r="N64" s="472"/>
    </row>
    <row r="65" spans="1:12">
      <c r="A65" s="409" t="s">
        <v>1148</v>
      </c>
    </row>
    <row r="66" spans="1:12">
      <c r="L66" s="414">
        <f>L63-D63-C63</f>
        <v>654515</v>
      </c>
    </row>
  </sheetData>
  <mergeCells count="12">
    <mergeCell ref="A1:N1"/>
    <mergeCell ref="N4:N5"/>
    <mergeCell ref="A6:N6"/>
    <mergeCell ref="A14:N14"/>
    <mergeCell ref="A37:N37"/>
    <mergeCell ref="A58:N58"/>
    <mergeCell ref="A4:A5"/>
    <mergeCell ref="B4:B5"/>
    <mergeCell ref="F4:G4"/>
    <mergeCell ref="H4:I4"/>
    <mergeCell ref="J4:K4"/>
    <mergeCell ref="L4:M4"/>
  </mergeCells>
  <conditionalFormatting sqref="M7:M64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45" right="0.2" top="0.75" bottom="0.75" header="0.3" footer="0.3"/>
  <pageSetup paperSize="9" scale="6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P47" sqref="P47"/>
    </sheetView>
  </sheetViews>
  <sheetFormatPr defaultRowHeight="12.75"/>
  <cols>
    <col min="1" max="1" width="4" style="340" customWidth="1"/>
    <col min="2" max="2" width="21.42578125" style="340" customWidth="1"/>
    <col min="3" max="3" width="7.7109375" style="340" bestFit="1" customWidth="1"/>
    <col min="4" max="4" width="9.85546875" style="340" bestFit="1" customWidth="1"/>
    <col min="5" max="5" width="5.42578125" style="340" customWidth="1"/>
    <col min="6" max="6" width="8" style="340" bestFit="1" customWidth="1"/>
    <col min="7" max="7" width="6.42578125" style="340" customWidth="1"/>
    <col min="8" max="8" width="8.42578125" style="340" bestFit="1" customWidth="1"/>
    <col min="9" max="9" width="5.85546875" style="340" bestFit="1" customWidth="1"/>
    <col min="10" max="10" width="7.7109375" style="340" bestFit="1" customWidth="1"/>
    <col min="11" max="11" width="5.5703125" style="340" customWidth="1"/>
    <col min="12" max="12" width="7" style="340" bestFit="1" customWidth="1"/>
    <col min="13" max="13" width="7.7109375" style="340" bestFit="1" customWidth="1"/>
    <col min="14" max="14" width="9.85546875" style="340" bestFit="1" customWidth="1"/>
    <col min="15" max="15" width="6.28515625" style="340" bestFit="1" customWidth="1"/>
    <col min="16" max="16" width="8.28515625" style="340" bestFit="1" customWidth="1"/>
    <col min="17" max="17" width="4.85546875" style="340" customWidth="1"/>
    <col min="18" max="18" width="8" style="340" bestFit="1" customWidth="1"/>
    <col min="19" max="19" width="6.28515625" style="340" bestFit="1" customWidth="1"/>
    <col min="20" max="20" width="12.5703125" style="340" bestFit="1" customWidth="1"/>
    <col min="21" max="16384" width="9.140625" style="340"/>
  </cols>
  <sheetData>
    <row r="1" spans="1:22" ht="15.75">
      <c r="A1" s="744" t="s">
        <v>1166</v>
      </c>
      <c r="B1" s="744"/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/>
      <c r="Q1" s="744"/>
      <c r="R1" s="744"/>
      <c r="S1" s="744"/>
      <c r="T1" s="744"/>
      <c r="U1" s="744"/>
      <c r="V1" s="744"/>
    </row>
    <row r="2" spans="1:22" ht="14.25">
      <c r="A2" s="745" t="s">
        <v>798</v>
      </c>
      <c r="B2" s="745"/>
      <c r="C2" s="745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5"/>
      <c r="R2" s="745"/>
      <c r="S2" s="745"/>
      <c r="T2" s="745"/>
      <c r="U2" s="745"/>
      <c r="V2" s="745"/>
    </row>
    <row r="3" spans="1:22" ht="14.25">
      <c r="A3" s="341"/>
      <c r="B3" s="341" t="s">
        <v>1162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T3" s="341" t="s">
        <v>476</v>
      </c>
    </row>
    <row r="4" spans="1:22" ht="13.5">
      <c r="A4" s="736" t="s">
        <v>120</v>
      </c>
      <c r="B4" s="739" t="s">
        <v>271</v>
      </c>
      <c r="C4" s="734" t="s">
        <v>1157</v>
      </c>
      <c r="D4" s="742"/>
      <c r="E4" s="742"/>
      <c r="F4" s="742"/>
      <c r="G4" s="742"/>
      <c r="H4" s="742"/>
      <c r="I4" s="742"/>
      <c r="J4" s="742"/>
      <c r="K4" s="742"/>
      <c r="L4" s="742"/>
      <c r="M4" s="742"/>
      <c r="N4" s="735"/>
      <c r="O4" s="746" t="s">
        <v>470</v>
      </c>
      <c r="P4" s="746"/>
      <c r="Q4" s="746"/>
      <c r="R4" s="746"/>
      <c r="S4" s="746"/>
      <c r="T4" s="746"/>
      <c r="U4" s="747" t="s">
        <v>290</v>
      </c>
      <c r="V4" s="748"/>
    </row>
    <row r="5" spans="1:22" ht="13.5">
      <c r="A5" s="737"/>
      <c r="B5" s="740"/>
      <c r="C5" s="734" t="s">
        <v>1158</v>
      </c>
      <c r="D5" s="735"/>
      <c r="E5" s="734" t="s">
        <v>486</v>
      </c>
      <c r="F5" s="735"/>
      <c r="G5" s="734" t="s">
        <v>485</v>
      </c>
      <c r="H5" s="735"/>
      <c r="I5" s="734" t="s">
        <v>484</v>
      </c>
      <c r="J5" s="735"/>
      <c r="K5" s="734" t="s">
        <v>471</v>
      </c>
      <c r="L5" s="735"/>
      <c r="M5" s="734" t="s">
        <v>1</v>
      </c>
      <c r="N5" s="735"/>
      <c r="O5" s="746" t="s">
        <v>484</v>
      </c>
      <c r="P5" s="746"/>
      <c r="Q5" s="742" t="s">
        <v>471</v>
      </c>
      <c r="R5" s="735"/>
      <c r="S5" s="746" t="s">
        <v>1</v>
      </c>
      <c r="T5" s="746"/>
      <c r="U5" s="749"/>
      <c r="V5" s="750"/>
    </row>
    <row r="6" spans="1:22" ht="13.5">
      <c r="A6" s="738"/>
      <c r="B6" s="741"/>
      <c r="C6" s="487" t="s">
        <v>30</v>
      </c>
      <c r="D6" s="488" t="s">
        <v>17</v>
      </c>
      <c r="E6" s="487" t="s">
        <v>30</v>
      </c>
      <c r="F6" s="488" t="s">
        <v>17</v>
      </c>
      <c r="G6" s="487" t="s">
        <v>30</v>
      </c>
      <c r="H6" s="488" t="s">
        <v>17</v>
      </c>
      <c r="I6" s="487" t="s">
        <v>30</v>
      </c>
      <c r="J6" s="488" t="s">
        <v>17</v>
      </c>
      <c r="K6" s="487" t="s">
        <v>30</v>
      </c>
      <c r="L6" s="488" t="s">
        <v>17</v>
      </c>
      <c r="M6" s="487" t="s">
        <v>30</v>
      </c>
      <c r="N6" s="488" t="s">
        <v>17</v>
      </c>
      <c r="O6" s="489" t="s">
        <v>30</v>
      </c>
      <c r="P6" s="490" t="s">
        <v>17</v>
      </c>
      <c r="Q6" s="489" t="s">
        <v>30</v>
      </c>
      <c r="R6" s="490" t="s">
        <v>17</v>
      </c>
      <c r="S6" s="489" t="s">
        <v>30</v>
      </c>
      <c r="T6" s="490" t="s">
        <v>17</v>
      </c>
      <c r="U6" s="491" t="s">
        <v>30</v>
      </c>
      <c r="V6" s="492" t="s">
        <v>17</v>
      </c>
    </row>
    <row r="7" spans="1:22" ht="13.5">
      <c r="A7" s="493">
        <v>1</v>
      </c>
      <c r="B7" s="494" t="s">
        <v>55</v>
      </c>
      <c r="C7" s="494">
        <v>29</v>
      </c>
      <c r="D7" s="495">
        <v>10.19</v>
      </c>
      <c r="E7" s="494">
        <v>2</v>
      </c>
      <c r="F7" s="495">
        <v>0.88</v>
      </c>
      <c r="G7" s="494">
        <v>5</v>
      </c>
      <c r="H7" s="495">
        <v>1.76</v>
      </c>
      <c r="I7" s="494">
        <v>2</v>
      </c>
      <c r="J7" s="495">
        <v>0.34</v>
      </c>
      <c r="K7" s="494">
        <v>0</v>
      </c>
      <c r="L7" s="495">
        <v>0</v>
      </c>
      <c r="M7" s="496">
        <v>38</v>
      </c>
      <c r="N7" s="497">
        <v>13.16</v>
      </c>
      <c r="O7" s="498">
        <v>6</v>
      </c>
      <c r="P7" s="499">
        <v>1.6850000000000001</v>
      </c>
      <c r="Q7" s="498">
        <v>0</v>
      </c>
      <c r="R7" s="499">
        <v>0</v>
      </c>
      <c r="S7" s="500">
        <f t="shared" ref="S7:S29" si="0">O7+Q7</f>
        <v>6</v>
      </c>
      <c r="T7" s="501">
        <f t="shared" ref="T7:T29" si="1">P7+R7</f>
        <v>1.6850000000000001</v>
      </c>
      <c r="U7" s="500">
        <f t="shared" ref="U7:U29" si="2">M7+S7</f>
        <v>44</v>
      </c>
      <c r="V7" s="501">
        <f t="shared" ref="V7:V29" si="3">N7+T7</f>
        <v>14.845000000000001</v>
      </c>
    </row>
    <row r="8" spans="1:22" ht="13.5">
      <c r="A8" s="493">
        <v>2</v>
      </c>
      <c r="B8" s="494" t="s">
        <v>56</v>
      </c>
      <c r="C8" s="494">
        <v>62</v>
      </c>
      <c r="D8" s="495">
        <v>7.98</v>
      </c>
      <c r="E8" s="494">
        <v>2</v>
      </c>
      <c r="F8" s="495">
        <v>0.32</v>
      </c>
      <c r="G8" s="494">
        <v>1</v>
      </c>
      <c r="H8" s="495">
        <v>0.1</v>
      </c>
      <c r="I8" s="494">
        <v>4</v>
      </c>
      <c r="J8" s="495">
        <v>0.4</v>
      </c>
      <c r="K8" s="494">
        <v>0</v>
      </c>
      <c r="L8" s="495">
        <v>0</v>
      </c>
      <c r="M8" s="496">
        <v>69</v>
      </c>
      <c r="N8" s="497">
        <v>8.8000000000000007</v>
      </c>
      <c r="O8" s="498">
        <v>7</v>
      </c>
      <c r="P8" s="499">
        <v>0.7</v>
      </c>
      <c r="Q8" s="498">
        <v>1</v>
      </c>
      <c r="R8" s="499">
        <v>0.1</v>
      </c>
      <c r="S8" s="500">
        <f t="shared" si="0"/>
        <v>8</v>
      </c>
      <c r="T8" s="501">
        <f t="shared" si="1"/>
        <v>0.79999999999999993</v>
      </c>
      <c r="U8" s="500">
        <f t="shared" si="2"/>
        <v>77</v>
      </c>
      <c r="V8" s="501">
        <f t="shared" si="3"/>
        <v>9.6000000000000014</v>
      </c>
    </row>
    <row r="9" spans="1:22" ht="13.5">
      <c r="A9" s="493">
        <v>3</v>
      </c>
      <c r="B9" s="494" t="s">
        <v>57</v>
      </c>
      <c r="C9" s="494">
        <v>60</v>
      </c>
      <c r="D9" s="495">
        <v>18.52</v>
      </c>
      <c r="E9" s="494">
        <v>7</v>
      </c>
      <c r="F9" s="495">
        <v>1.69</v>
      </c>
      <c r="G9" s="494">
        <v>13</v>
      </c>
      <c r="H9" s="495">
        <v>1.94</v>
      </c>
      <c r="I9" s="494">
        <v>2</v>
      </c>
      <c r="J9" s="495">
        <v>0.31</v>
      </c>
      <c r="K9" s="494">
        <v>4</v>
      </c>
      <c r="L9" s="495">
        <v>0.94</v>
      </c>
      <c r="M9" s="496">
        <v>86</v>
      </c>
      <c r="N9" s="497">
        <v>23.4</v>
      </c>
      <c r="O9" s="498">
        <v>16</v>
      </c>
      <c r="P9" s="499">
        <v>3.2132999999999998</v>
      </c>
      <c r="Q9" s="498">
        <v>12</v>
      </c>
      <c r="R9" s="499">
        <v>3.0486999999999997</v>
      </c>
      <c r="S9" s="500">
        <f t="shared" si="0"/>
        <v>28</v>
      </c>
      <c r="T9" s="501">
        <f t="shared" si="1"/>
        <v>6.2619999999999996</v>
      </c>
      <c r="U9" s="500">
        <f t="shared" si="2"/>
        <v>114</v>
      </c>
      <c r="V9" s="501">
        <f t="shared" si="3"/>
        <v>29.661999999999999</v>
      </c>
    </row>
    <row r="10" spans="1:22" ht="13.5">
      <c r="A10" s="493">
        <v>4</v>
      </c>
      <c r="B10" s="494" t="s">
        <v>58</v>
      </c>
      <c r="C10" s="494">
        <v>178</v>
      </c>
      <c r="D10" s="495">
        <v>35.92</v>
      </c>
      <c r="E10" s="494">
        <v>14</v>
      </c>
      <c r="F10" s="495">
        <v>3.85</v>
      </c>
      <c r="G10" s="494">
        <v>60</v>
      </c>
      <c r="H10" s="495">
        <v>10.89</v>
      </c>
      <c r="I10" s="494">
        <v>6</v>
      </c>
      <c r="J10" s="495">
        <v>0.77</v>
      </c>
      <c r="K10" s="494">
        <v>3</v>
      </c>
      <c r="L10" s="495">
        <v>0.53</v>
      </c>
      <c r="M10" s="496">
        <v>261</v>
      </c>
      <c r="N10" s="497">
        <v>51.96</v>
      </c>
      <c r="O10" s="498">
        <v>61</v>
      </c>
      <c r="P10" s="499">
        <v>11.295210000000001</v>
      </c>
      <c r="Q10" s="498">
        <v>27</v>
      </c>
      <c r="R10" s="499">
        <v>4.3740000000000006</v>
      </c>
      <c r="S10" s="500">
        <f t="shared" si="0"/>
        <v>88</v>
      </c>
      <c r="T10" s="501">
        <f t="shared" si="1"/>
        <v>15.669210000000001</v>
      </c>
      <c r="U10" s="500">
        <f t="shared" si="2"/>
        <v>349</v>
      </c>
      <c r="V10" s="501">
        <f t="shared" si="3"/>
        <v>67.62921</v>
      </c>
    </row>
    <row r="11" spans="1:22" ht="13.5">
      <c r="A11" s="493">
        <v>5</v>
      </c>
      <c r="B11" s="494" t="s">
        <v>59</v>
      </c>
      <c r="C11" s="494">
        <v>25</v>
      </c>
      <c r="D11" s="495">
        <v>6.95</v>
      </c>
      <c r="E11" s="494">
        <v>1</v>
      </c>
      <c r="F11" s="495">
        <v>0.1</v>
      </c>
      <c r="G11" s="494">
        <v>1</v>
      </c>
      <c r="H11" s="495">
        <v>0.64</v>
      </c>
      <c r="I11" s="494"/>
      <c r="J11" s="495"/>
      <c r="K11" s="494">
        <v>1</v>
      </c>
      <c r="L11" s="495">
        <v>0.63</v>
      </c>
      <c r="M11" s="496">
        <v>28</v>
      </c>
      <c r="N11" s="497">
        <v>8.32</v>
      </c>
      <c r="O11" s="498">
        <v>2</v>
      </c>
      <c r="P11" s="499">
        <v>0.69550000000000001</v>
      </c>
      <c r="Q11" s="498">
        <v>0</v>
      </c>
      <c r="R11" s="499">
        <v>0</v>
      </c>
      <c r="S11" s="500">
        <f t="shared" si="0"/>
        <v>2</v>
      </c>
      <c r="T11" s="501">
        <f t="shared" si="1"/>
        <v>0.69550000000000001</v>
      </c>
      <c r="U11" s="500">
        <f t="shared" si="2"/>
        <v>30</v>
      </c>
      <c r="V11" s="501">
        <f t="shared" si="3"/>
        <v>9.0154999999999994</v>
      </c>
    </row>
    <row r="12" spans="1:22" ht="13.5">
      <c r="A12" s="493">
        <v>6</v>
      </c>
      <c r="B12" s="494" t="s">
        <v>60</v>
      </c>
      <c r="C12" s="494">
        <v>9</v>
      </c>
      <c r="D12" s="495">
        <v>2.63</v>
      </c>
      <c r="E12" s="494"/>
      <c r="F12" s="495"/>
      <c r="G12" s="494">
        <v>1</v>
      </c>
      <c r="H12" s="495">
        <v>0.25</v>
      </c>
      <c r="I12" s="494"/>
      <c r="J12" s="495"/>
      <c r="K12" s="494">
        <v>0</v>
      </c>
      <c r="L12" s="495">
        <v>0</v>
      </c>
      <c r="M12" s="496">
        <v>10</v>
      </c>
      <c r="N12" s="497">
        <v>2.88</v>
      </c>
      <c r="O12" s="498"/>
      <c r="P12" s="499"/>
      <c r="Q12" s="498">
        <v>0</v>
      </c>
      <c r="R12" s="499">
        <v>0</v>
      </c>
      <c r="S12" s="500">
        <f t="shared" si="0"/>
        <v>0</v>
      </c>
      <c r="T12" s="501">
        <f t="shared" si="1"/>
        <v>0</v>
      </c>
      <c r="U12" s="500">
        <f t="shared" si="2"/>
        <v>10</v>
      </c>
      <c r="V12" s="501">
        <f t="shared" si="3"/>
        <v>2.88</v>
      </c>
    </row>
    <row r="13" spans="1:22" ht="13.5">
      <c r="A13" s="493">
        <v>7</v>
      </c>
      <c r="B13" s="494" t="s">
        <v>61</v>
      </c>
      <c r="C13" s="494">
        <v>48</v>
      </c>
      <c r="D13" s="495">
        <v>13.29</v>
      </c>
      <c r="E13" s="494">
        <v>10</v>
      </c>
      <c r="F13" s="495">
        <v>3</v>
      </c>
      <c r="G13" s="494">
        <v>24</v>
      </c>
      <c r="H13" s="495">
        <v>6.04</v>
      </c>
      <c r="I13" s="494">
        <v>8</v>
      </c>
      <c r="J13" s="495">
        <v>2.23</v>
      </c>
      <c r="K13" s="494">
        <v>3</v>
      </c>
      <c r="L13" s="495">
        <v>0.59</v>
      </c>
      <c r="M13" s="496">
        <v>93</v>
      </c>
      <c r="N13" s="497">
        <v>25.15</v>
      </c>
      <c r="O13" s="498">
        <v>13</v>
      </c>
      <c r="P13" s="499">
        <v>1.8037000000000001</v>
      </c>
      <c r="Q13" s="498">
        <v>5</v>
      </c>
      <c r="R13" s="499">
        <v>1.6174269999999999</v>
      </c>
      <c r="S13" s="500">
        <f t="shared" si="0"/>
        <v>18</v>
      </c>
      <c r="T13" s="501">
        <f t="shared" si="1"/>
        <v>3.4211270000000003</v>
      </c>
      <c r="U13" s="500">
        <f t="shared" si="2"/>
        <v>111</v>
      </c>
      <c r="V13" s="501">
        <f t="shared" si="3"/>
        <v>28.571126999999997</v>
      </c>
    </row>
    <row r="14" spans="1:22" ht="13.5">
      <c r="A14" s="493">
        <v>8</v>
      </c>
      <c r="B14" s="494" t="s">
        <v>48</v>
      </c>
      <c r="C14" s="494">
        <v>13</v>
      </c>
      <c r="D14" s="495">
        <v>2.2000000000000002</v>
      </c>
      <c r="E14" s="494">
        <v>1</v>
      </c>
      <c r="F14" s="495">
        <v>0.25</v>
      </c>
      <c r="G14" s="494"/>
      <c r="H14" s="495"/>
      <c r="I14" s="494"/>
      <c r="J14" s="495"/>
      <c r="K14" s="494">
        <v>0</v>
      </c>
      <c r="L14" s="495">
        <v>0</v>
      </c>
      <c r="M14" s="496">
        <v>14</v>
      </c>
      <c r="N14" s="497">
        <v>2.4500000000000002</v>
      </c>
      <c r="O14" s="498">
        <v>1</v>
      </c>
      <c r="P14" s="499">
        <v>0.124</v>
      </c>
      <c r="Q14" s="498">
        <v>1</v>
      </c>
      <c r="R14" s="499">
        <v>0.128</v>
      </c>
      <c r="S14" s="500">
        <f t="shared" si="0"/>
        <v>2</v>
      </c>
      <c r="T14" s="501">
        <f t="shared" si="1"/>
        <v>0.252</v>
      </c>
      <c r="U14" s="500">
        <f t="shared" si="2"/>
        <v>16</v>
      </c>
      <c r="V14" s="501">
        <f t="shared" si="3"/>
        <v>2.702</v>
      </c>
    </row>
    <row r="15" spans="1:22" ht="13.5">
      <c r="A15" s="493">
        <v>9</v>
      </c>
      <c r="B15" s="494" t="s">
        <v>49</v>
      </c>
      <c r="C15" s="494">
        <v>8</v>
      </c>
      <c r="D15" s="495">
        <v>3.17</v>
      </c>
      <c r="E15" s="494">
        <v>1</v>
      </c>
      <c r="F15" s="495">
        <v>0.75</v>
      </c>
      <c r="G15" s="494">
        <v>1</v>
      </c>
      <c r="H15" s="495">
        <v>0.53</v>
      </c>
      <c r="I15" s="494">
        <v>1</v>
      </c>
      <c r="J15" s="495">
        <v>0.18</v>
      </c>
      <c r="K15" s="494">
        <v>0</v>
      </c>
      <c r="L15" s="495">
        <v>0</v>
      </c>
      <c r="M15" s="496">
        <v>11</v>
      </c>
      <c r="N15" s="497">
        <v>4.63</v>
      </c>
      <c r="O15" s="498">
        <v>1</v>
      </c>
      <c r="P15" s="499">
        <v>0.45</v>
      </c>
      <c r="Q15" s="498">
        <v>0</v>
      </c>
      <c r="R15" s="499">
        <v>0</v>
      </c>
      <c r="S15" s="500">
        <f t="shared" si="0"/>
        <v>1</v>
      </c>
      <c r="T15" s="501">
        <f t="shared" si="1"/>
        <v>0.45</v>
      </c>
      <c r="U15" s="500">
        <f t="shared" si="2"/>
        <v>12</v>
      </c>
      <c r="V15" s="501">
        <f t="shared" si="3"/>
        <v>5.08</v>
      </c>
    </row>
    <row r="16" spans="1:22" ht="13.5">
      <c r="A16" s="493">
        <v>10</v>
      </c>
      <c r="B16" s="494" t="s">
        <v>472</v>
      </c>
      <c r="C16" s="494">
        <v>32</v>
      </c>
      <c r="D16" s="495">
        <v>5.15</v>
      </c>
      <c r="E16" s="494">
        <v>1</v>
      </c>
      <c r="F16" s="495">
        <v>0.1</v>
      </c>
      <c r="G16" s="494">
        <v>2</v>
      </c>
      <c r="H16" s="495">
        <v>0.2</v>
      </c>
      <c r="I16" s="494">
        <v>3</v>
      </c>
      <c r="J16" s="495">
        <v>1.2</v>
      </c>
      <c r="K16" s="494">
        <v>0</v>
      </c>
      <c r="L16" s="495">
        <v>0</v>
      </c>
      <c r="M16" s="496">
        <v>38</v>
      </c>
      <c r="N16" s="497">
        <v>6.65</v>
      </c>
      <c r="O16" s="498">
        <v>4</v>
      </c>
      <c r="P16" s="499">
        <v>0.54249999999999998</v>
      </c>
      <c r="Q16" s="498">
        <v>2</v>
      </c>
      <c r="R16" s="499">
        <v>0.2107</v>
      </c>
      <c r="S16" s="500">
        <f t="shared" si="0"/>
        <v>6</v>
      </c>
      <c r="T16" s="501">
        <f t="shared" si="1"/>
        <v>0.75319999999999998</v>
      </c>
      <c r="U16" s="500">
        <f t="shared" si="2"/>
        <v>44</v>
      </c>
      <c r="V16" s="501">
        <f t="shared" si="3"/>
        <v>7.4032</v>
      </c>
    </row>
    <row r="17" spans="1:22" ht="13.5">
      <c r="A17" s="493">
        <v>11</v>
      </c>
      <c r="B17" s="494" t="s">
        <v>62</v>
      </c>
      <c r="C17" s="494">
        <v>3</v>
      </c>
      <c r="D17" s="495">
        <v>0.3</v>
      </c>
      <c r="E17" s="494"/>
      <c r="F17" s="495"/>
      <c r="G17" s="494">
        <v>1</v>
      </c>
      <c r="H17" s="495">
        <v>0.25</v>
      </c>
      <c r="I17" s="494"/>
      <c r="J17" s="495"/>
      <c r="K17" s="494">
        <v>0</v>
      </c>
      <c r="L17" s="495">
        <v>0</v>
      </c>
      <c r="M17" s="496">
        <v>4</v>
      </c>
      <c r="N17" s="497">
        <v>0.55000000000000004</v>
      </c>
      <c r="O17" s="498">
        <v>1</v>
      </c>
      <c r="P17" s="499">
        <v>0.14449999999999999</v>
      </c>
      <c r="Q17" s="498">
        <v>0</v>
      </c>
      <c r="R17" s="499">
        <v>0</v>
      </c>
      <c r="S17" s="500">
        <f t="shared" si="0"/>
        <v>1</v>
      </c>
      <c r="T17" s="501">
        <f t="shared" si="1"/>
        <v>0.14449999999999999</v>
      </c>
      <c r="U17" s="500">
        <f t="shared" si="2"/>
        <v>5</v>
      </c>
      <c r="V17" s="501">
        <f t="shared" si="3"/>
        <v>0.69450000000000001</v>
      </c>
    </row>
    <row r="18" spans="1:22" ht="13.5">
      <c r="A18" s="493">
        <v>12</v>
      </c>
      <c r="B18" s="494" t="s">
        <v>63</v>
      </c>
      <c r="C18" s="494">
        <v>5</v>
      </c>
      <c r="D18" s="495">
        <v>1.1599999999999999</v>
      </c>
      <c r="E18" s="494"/>
      <c r="F18" s="495"/>
      <c r="G18" s="494">
        <v>1</v>
      </c>
      <c r="H18" s="495">
        <v>0.2</v>
      </c>
      <c r="I18" s="494"/>
      <c r="J18" s="495"/>
      <c r="K18" s="494">
        <v>0</v>
      </c>
      <c r="L18" s="495">
        <v>0</v>
      </c>
      <c r="M18" s="496">
        <v>6</v>
      </c>
      <c r="N18" s="497">
        <v>1.36</v>
      </c>
      <c r="O18" s="498">
        <v>2</v>
      </c>
      <c r="P18" s="499">
        <v>1.04</v>
      </c>
      <c r="Q18" s="498">
        <v>0</v>
      </c>
      <c r="R18" s="499">
        <v>0</v>
      </c>
      <c r="S18" s="500">
        <f t="shared" si="0"/>
        <v>2</v>
      </c>
      <c r="T18" s="501">
        <f t="shared" si="1"/>
        <v>1.04</v>
      </c>
      <c r="U18" s="500">
        <f t="shared" si="2"/>
        <v>8</v>
      </c>
      <c r="V18" s="501">
        <f t="shared" si="3"/>
        <v>2.4000000000000004</v>
      </c>
    </row>
    <row r="19" spans="1:22" ht="13.5">
      <c r="A19" s="493">
        <v>13</v>
      </c>
      <c r="B19" s="494" t="s">
        <v>206</v>
      </c>
      <c r="C19" s="494">
        <v>3</v>
      </c>
      <c r="D19" s="495">
        <v>1.6</v>
      </c>
      <c r="E19" s="494"/>
      <c r="F19" s="495"/>
      <c r="G19" s="494"/>
      <c r="H19" s="495"/>
      <c r="I19" s="494"/>
      <c r="J19" s="495"/>
      <c r="K19" s="494">
        <v>0</v>
      </c>
      <c r="L19" s="495">
        <v>0</v>
      </c>
      <c r="M19" s="496">
        <v>3</v>
      </c>
      <c r="N19" s="497">
        <v>1.6</v>
      </c>
      <c r="O19" s="498">
        <v>1</v>
      </c>
      <c r="P19" s="499">
        <v>0.8</v>
      </c>
      <c r="Q19" s="498">
        <v>1</v>
      </c>
      <c r="R19" s="499">
        <v>0.27</v>
      </c>
      <c r="S19" s="500">
        <f t="shared" si="0"/>
        <v>2</v>
      </c>
      <c r="T19" s="501">
        <f t="shared" si="1"/>
        <v>1.07</v>
      </c>
      <c r="U19" s="500">
        <f t="shared" si="2"/>
        <v>5</v>
      </c>
      <c r="V19" s="501">
        <f t="shared" si="3"/>
        <v>2.67</v>
      </c>
    </row>
    <row r="20" spans="1:22" ht="13.5">
      <c r="A20" s="493">
        <v>14</v>
      </c>
      <c r="B20" s="494" t="s">
        <v>473</v>
      </c>
      <c r="C20" s="494">
        <v>19</v>
      </c>
      <c r="D20" s="495">
        <v>4.5999999999999996</v>
      </c>
      <c r="E20" s="494">
        <v>4</v>
      </c>
      <c r="F20" s="495">
        <v>1.01</v>
      </c>
      <c r="G20" s="494">
        <v>3</v>
      </c>
      <c r="H20" s="495">
        <v>0.44</v>
      </c>
      <c r="I20" s="494">
        <v>1</v>
      </c>
      <c r="J20" s="495">
        <v>0.25</v>
      </c>
      <c r="K20" s="494">
        <v>0</v>
      </c>
      <c r="L20" s="495">
        <v>0</v>
      </c>
      <c r="M20" s="496">
        <v>27</v>
      </c>
      <c r="N20" s="497">
        <v>6.3</v>
      </c>
      <c r="O20" s="498">
        <v>4</v>
      </c>
      <c r="P20" s="499">
        <v>1.085</v>
      </c>
      <c r="Q20" s="498">
        <v>0</v>
      </c>
      <c r="R20" s="499">
        <v>0</v>
      </c>
      <c r="S20" s="500">
        <f t="shared" si="0"/>
        <v>4</v>
      </c>
      <c r="T20" s="501">
        <f t="shared" si="1"/>
        <v>1.085</v>
      </c>
      <c r="U20" s="500">
        <f t="shared" si="2"/>
        <v>31</v>
      </c>
      <c r="V20" s="501">
        <f t="shared" si="3"/>
        <v>7.3849999999999998</v>
      </c>
    </row>
    <row r="21" spans="1:22" ht="13.5">
      <c r="A21" s="493">
        <v>15</v>
      </c>
      <c r="B21" s="494" t="s">
        <v>64</v>
      </c>
      <c r="C21" s="494">
        <v>331</v>
      </c>
      <c r="D21" s="495">
        <v>67.33</v>
      </c>
      <c r="E21" s="494">
        <v>2</v>
      </c>
      <c r="F21" s="495">
        <v>0.39</v>
      </c>
      <c r="G21" s="494">
        <v>13</v>
      </c>
      <c r="H21" s="495">
        <v>2.72</v>
      </c>
      <c r="I21" s="494">
        <v>10</v>
      </c>
      <c r="J21" s="495">
        <v>1.56</v>
      </c>
      <c r="K21" s="494">
        <v>3</v>
      </c>
      <c r="L21" s="495">
        <v>0.44</v>
      </c>
      <c r="M21" s="496">
        <v>359</v>
      </c>
      <c r="N21" s="497">
        <v>72.44</v>
      </c>
      <c r="O21" s="498">
        <v>61</v>
      </c>
      <c r="P21" s="499">
        <v>10.667759999999999</v>
      </c>
      <c r="Q21" s="498">
        <v>27</v>
      </c>
      <c r="R21" s="499">
        <v>4.3340949999999996</v>
      </c>
      <c r="S21" s="500">
        <f t="shared" si="0"/>
        <v>88</v>
      </c>
      <c r="T21" s="501">
        <f t="shared" si="1"/>
        <v>15.001854999999999</v>
      </c>
      <c r="U21" s="500">
        <f t="shared" si="2"/>
        <v>447</v>
      </c>
      <c r="V21" s="501">
        <f t="shared" si="3"/>
        <v>87.441855000000004</v>
      </c>
    </row>
    <row r="22" spans="1:22" ht="13.5">
      <c r="A22" s="493">
        <v>16</v>
      </c>
      <c r="B22" s="494" t="s">
        <v>474</v>
      </c>
      <c r="C22" s="494">
        <v>1</v>
      </c>
      <c r="D22" s="495">
        <v>0.15</v>
      </c>
      <c r="E22" s="494"/>
      <c r="F22" s="495"/>
      <c r="G22" s="494"/>
      <c r="H22" s="495"/>
      <c r="I22" s="494"/>
      <c r="J22" s="495"/>
      <c r="K22" s="494">
        <v>0</v>
      </c>
      <c r="L22" s="495">
        <v>0</v>
      </c>
      <c r="M22" s="496">
        <v>1</v>
      </c>
      <c r="N22" s="497">
        <v>0.15</v>
      </c>
      <c r="O22" s="498"/>
      <c r="P22" s="499"/>
      <c r="Q22" s="498">
        <v>0</v>
      </c>
      <c r="R22" s="499">
        <v>0</v>
      </c>
      <c r="S22" s="500">
        <f t="shared" si="0"/>
        <v>0</v>
      </c>
      <c r="T22" s="501">
        <f t="shared" si="1"/>
        <v>0</v>
      </c>
      <c r="U22" s="500">
        <f t="shared" si="2"/>
        <v>1</v>
      </c>
      <c r="V22" s="501">
        <f t="shared" si="3"/>
        <v>0.15</v>
      </c>
    </row>
    <row r="23" spans="1:22" ht="13.5">
      <c r="A23" s="493">
        <v>17</v>
      </c>
      <c r="B23" s="494" t="s">
        <v>70</v>
      </c>
      <c r="C23" s="494">
        <v>97</v>
      </c>
      <c r="D23" s="495">
        <v>23.72</v>
      </c>
      <c r="E23" s="494">
        <v>9</v>
      </c>
      <c r="F23" s="495">
        <v>1.63</v>
      </c>
      <c r="G23" s="494">
        <v>18</v>
      </c>
      <c r="H23" s="495">
        <v>3.91</v>
      </c>
      <c r="I23" s="494">
        <v>11</v>
      </c>
      <c r="J23" s="495">
        <v>1.98</v>
      </c>
      <c r="K23" s="494">
        <v>2</v>
      </c>
      <c r="L23" s="495">
        <v>0.56000000000000005</v>
      </c>
      <c r="M23" s="496">
        <v>137</v>
      </c>
      <c r="N23" s="497">
        <v>31.81</v>
      </c>
      <c r="O23" s="498">
        <v>24</v>
      </c>
      <c r="P23" s="499">
        <v>4.9916999999999998</v>
      </c>
      <c r="Q23" s="498">
        <v>9</v>
      </c>
      <c r="R23" s="499">
        <v>1.377</v>
      </c>
      <c r="S23" s="500">
        <f t="shared" si="0"/>
        <v>33</v>
      </c>
      <c r="T23" s="501">
        <f t="shared" si="1"/>
        <v>6.3686999999999996</v>
      </c>
      <c r="U23" s="500">
        <f t="shared" si="2"/>
        <v>170</v>
      </c>
      <c r="V23" s="501">
        <f t="shared" si="3"/>
        <v>38.178699999999999</v>
      </c>
    </row>
    <row r="24" spans="1:22" ht="13.5">
      <c r="A24" s="493">
        <v>18</v>
      </c>
      <c r="B24" s="494" t="s">
        <v>1137</v>
      </c>
      <c r="C24" s="494">
        <v>1</v>
      </c>
      <c r="D24" s="495">
        <v>0.11</v>
      </c>
      <c r="E24" s="494"/>
      <c r="F24" s="495"/>
      <c r="G24" s="494"/>
      <c r="H24" s="495"/>
      <c r="I24" s="494"/>
      <c r="J24" s="495"/>
      <c r="K24" s="494">
        <v>0</v>
      </c>
      <c r="L24" s="495">
        <v>0</v>
      </c>
      <c r="M24" s="496">
        <v>1</v>
      </c>
      <c r="N24" s="497">
        <v>0.11</v>
      </c>
      <c r="O24" s="498"/>
      <c r="P24" s="499"/>
      <c r="Q24" s="498">
        <v>0</v>
      </c>
      <c r="R24" s="499">
        <v>0</v>
      </c>
      <c r="S24" s="500">
        <f t="shared" si="0"/>
        <v>0</v>
      </c>
      <c r="T24" s="501">
        <f t="shared" si="1"/>
        <v>0</v>
      </c>
      <c r="U24" s="500">
        <f t="shared" si="2"/>
        <v>1</v>
      </c>
      <c r="V24" s="501">
        <f t="shared" si="3"/>
        <v>0.11</v>
      </c>
    </row>
    <row r="25" spans="1:22" ht="13.5">
      <c r="A25" s="493">
        <v>19</v>
      </c>
      <c r="B25" s="494" t="s">
        <v>65</v>
      </c>
      <c r="C25" s="494">
        <v>4</v>
      </c>
      <c r="D25" s="495">
        <v>1.89</v>
      </c>
      <c r="E25" s="494"/>
      <c r="F25" s="495"/>
      <c r="G25" s="494"/>
      <c r="H25" s="495"/>
      <c r="I25" s="494"/>
      <c r="J25" s="495"/>
      <c r="K25" s="494">
        <v>0</v>
      </c>
      <c r="L25" s="495">
        <v>0</v>
      </c>
      <c r="M25" s="496">
        <v>4</v>
      </c>
      <c r="N25" s="497">
        <v>1.89</v>
      </c>
      <c r="O25" s="498"/>
      <c r="P25" s="499"/>
      <c r="Q25" s="498">
        <v>1</v>
      </c>
      <c r="R25" s="499">
        <v>0.15</v>
      </c>
      <c r="S25" s="500">
        <f t="shared" si="0"/>
        <v>1</v>
      </c>
      <c r="T25" s="501">
        <f t="shared" si="1"/>
        <v>0.15</v>
      </c>
      <c r="U25" s="500">
        <f t="shared" si="2"/>
        <v>5</v>
      </c>
      <c r="V25" s="501">
        <f t="shared" si="3"/>
        <v>2.04</v>
      </c>
    </row>
    <row r="26" spans="1:22" ht="13.5">
      <c r="A26" s="493">
        <v>20</v>
      </c>
      <c r="B26" s="494" t="s">
        <v>212</v>
      </c>
      <c r="C26" s="494">
        <v>14</v>
      </c>
      <c r="D26" s="495">
        <v>2.4500000000000002</v>
      </c>
      <c r="E26" s="494"/>
      <c r="F26" s="495"/>
      <c r="G26" s="494">
        <v>1</v>
      </c>
      <c r="H26" s="495">
        <v>0.1</v>
      </c>
      <c r="I26" s="494"/>
      <c r="J26" s="495"/>
      <c r="K26" s="494">
        <v>0</v>
      </c>
      <c r="L26" s="495">
        <v>0</v>
      </c>
      <c r="M26" s="496">
        <v>15</v>
      </c>
      <c r="N26" s="497">
        <v>2.5499999999999998</v>
      </c>
      <c r="O26" s="498"/>
      <c r="P26" s="499"/>
      <c r="Q26" s="498">
        <v>0</v>
      </c>
      <c r="R26" s="499">
        <v>0</v>
      </c>
      <c r="S26" s="500">
        <f t="shared" si="0"/>
        <v>0</v>
      </c>
      <c r="T26" s="501">
        <f t="shared" si="1"/>
        <v>0</v>
      </c>
      <c r="U26" s="500">
        <f t="shared" si="2"/>
        <v>15</v>
      </c>
      <c r="V26" s="501">
        <f t="shared" si="3"/>
        <v>2.5499999999999998</v>
      </c>
    </row>
    <row r="27" spans="1:22" ht="13.5">
      <c r="A27" s="493">
        <v>21</v>
      </c>
      <c r="B27" s="494" t="s">
        <v>66</v>
      </c>
      <c r="C27" s="494">
        <v>41</v>
      </c>
      <c r="D27" s="495">
        <v>11.88</v>
      </c>
      <c r="E27" s="494">
        <v>8</v>
      </c>
      <c r="F27" s="495">
        <v>1.17</v>
      </c>
      <c r="G27" s="494">
        <v>4</v>
      </c>
      <c r="H27" s="495">
        <v>1.1100000000000001</v>
      </c>
      <c r="I27" s="494">
        <v>1</v>
      </c>
      <c r="J27" s="495">
        <v>0.1</v>
      </c>
      <c r="K27" s="494">
        <v>1</v>
      </c>
      <c r="L27" s="495">
        <v>0.1</v>
      </c>
      <c r="M27" s="496">
        <v>55</v>
      </c>
      <c r="N27" s="497">
        <v>14.37</v>
      </c>
      <c r="O27" s="498">
        <v>4</v>
      </c>
      <c r="P27" s="499">
        <v>0.51349999999999996</v>
      </c>
      <c r="Q27" s="498">
        <v>2</v>
      </c>
      <c r="R27" s="499">
        <v>0.23350000000000001</v>
      </c>
      <c r="S27" s="500">
        <f t="shared" si="0"/>
        <v>6</v>
      </c>
      <c r="T27" s="501">
        <f t="shared" si="1"/>
        <v>0.747</v>
      </c>
      <c r="U27" s="500">
        <f t="shared" si="2"/>
        <v>61</v>
      </c>
      <c r="V27" s="501">
        <f t="shared" si="3"/>
        <v>15.116999999999999</v>
      </c>
    </row>
    <row r="28" spans="1:22" ht="13.5">
      <c r="A28" s="493">
        <v>22</v>
      </c>
      <c r="B28" s="494" t="s">
        <v>67</v>
      </c>
      <c r="C28" s="494">
        <v>10</v>
      </c>
      <c r="D28" s="495">
        <v>1.28</v>
      </c>
      <c r="E28" s="494">
        <v>1</v>
      </c>
      <c r="F28" s="495">
        <v>0.15</v>
      </c>
      <c r="G28" s="494">
        <v>1</v>
      </c>
      <c r="H28" s="495">
        <v>0.12</v>
      </c>
      <c r="I28" s="494">
        <v>1</v>
      </c>
      <c r="J28" s="495">
        <v>0.12</v>
      </c>
      <c r="K28" s="494">
        <v>0</v>
      </c>
      <c r="L28" s="495">
        <v>0</v>
      </c>
      <c r="M28" s="496">
        <v>13</v>
      </c>
      <c r="N28" s="497">
        <v>1.67</v>
      </c>
      <c r="O28" s="498">
        <v>4</v>
      </c>
      <c r="P28" s="499">
        <v>0.63249999999999995</v>
      </c>
      <c r="Q28" s="498">
        <v>0</v>
      </c>
      <c r="R28" s="499">
        <v>0</v>
      </c>
      <c r="S28" s="500">
        <f t="shared" si="0"/>
        <v>4</v>
      </c>
      <c r="T28" s="501">
        <f t="shared" si="1"/>
        <v>0.63249999999999995</v>
      </c>
      <c r="U28" s="500">
        <f t="shared" si="2"/>
        <v>17</v>
      </c>
      <c r="V28" s="501">
        <f t="shared" si="3"/>
        <v>2.3024999999999998</v>
      </c>
    </row>
    <row r="29" spans="1:22" ht="13.5">
      <c r="A29" s="493">
        <v>23</v>
      </c>
      <c r="B29" s="494" t="s">
        <v>50</v>
      </c>
      <c r="C29" s="494">
        <v>29</v>
      </c>
      <c r="D29" s="495">
        <v>7.22</v>
      </c>
      <c r="E29" s="494"/>
      <c r="F29" s="495"/>
      <c r="G29" s="494">
        <v>1</v>
      </c>
      <c r="H29" s="495">
        <v>0.1</v>
      </c>
      <c r="I29" s="494">
        <v>3</v>
      </c>
      <c r="J29" s="495">
        <v>0.53</v>
      </c>
      <c r="K29" s="494">
        <v>0</v>
      </c>
      <c r="L29" s="495">
        <v>0</v>
      </c>
      <c r="M29" s="496">
        <v>33</v>
      </c>
      <c r="N29" s="497">
        <v>7.84</v>
      </c>
      <c r="O29" s="498">
        <v>3</v>
      </c>
      <c r="P29" s="499">
        <v>0.8</v>
      </c>
      <c r="Q29" s="498">
        <v>1</v>
      </c>
      <c r="R29" s="499">
        <v>0.2</v>
      </c>
      <c r="S29" s="500">
        <f t="shared" si="0"/>
        <v>4</v>
      </c>
      <c r="T29" s="501">
        <f t="shared" si="1"/>
        <v>1</v>
      </c>
      <c r="U29" s="500">
        <f t="shared" si="2"/>
        <v>37</v>
      </c>
      <c r="V29" s="501">
        <f t="shared" si="3"/>
        <v>8.84</v>
      </c>
    </row>
    <row r="30" spans="1:22" ht="13.5">
      <c r="A30" s="500"/>
      <c r="B30" s="500" t="s">
        <v>1159</v>
      </c>
      <c r="C30" s="500">
        <f>SUM(C7:C29)</f>
        <v>1022</v>
      </c>
      <c r="D30" s="501">
        <f t="shared" ref="D30:V30" si="4">SUM(D7:D29)</f>
        <v>229.68999999999997</v>
      </c>
      <c r="E30" s="500">
        <f t="shared" si="4"/>
        <v>63</v>
      </c>
      <c r="F30" s="501">
        <f t="shared" si="4"/>
        <v>15.29</v>
      </c>
      <c r="G30" s="500">
        <f t="shared" si="4"/>
        <v>151</v>
      </c>
      <c r="H30" s="501">
        <f t="shared" si="4"/>
        <v>31.300000000000004</v>
      </c>
      <c r="I30" s="500">
        <f t="shared" si="4"/>
        <v>53</v>
      </c>
      <c r="J30" s="501">
        <f t="shared" si="4"/>
        <v>9.9699999999999989</v>
      </c>
      <c r="K30" s="500">
        <f t="shared" si="4"/>
        <v>17</v>
      </c>
      <c r="L30" s="501">
        <f t="shared" si="4"/>
        <v>3.79</v>
      </c>
      <c r="M30" s="500">
        <f t="shared" si="4"/>
        <v>1306</v>
      </c>
      <c r="N30" s="501">
        <f t="shared" si="4"/>
        <v>290.04000000000002</v>
      </c>
      <c r="O30" s="500">
        <f t="shared" si="4"/>
        <v>215</v>
      </c>
      <c r="P30" s="501">
        <f t="shared" si="4"/>
        <v>41.184169999999995</v>
      </c>
      <c r="Q30" s="500">
        <f t="shared" si="4"/>
        <v>89</v>
      </c>
      <c r="R30" s="501">
        <f t="shared" si="4"/>
        <v>16.043422</v>
      </c>
      <c r="S30" s="500">
        <f t="shared" si="4"/>
        <v>304</v>
      </c>
      <c r="T30" s="501">
        <f t="shared" si="4"/>
        <v>57.227591999999994</v>
      </c>
      <c r="U30" s="500">
        <f t="shared" si="4"/>
        <v>1610</v>
      </c>
      <c r="V30" s="501">
        <f t="shared" si="4"/>
        <v>347.26759199999998</v>
      </c>
    </row>
    <row r="31" spans="1:22" ht="13.5">
      <c r="A31" s="502">
        <v>24</v>
      </c>
      <c r="B31" s="498" t="s">
        <v>46</v>
      </c>
      <c r="C31" s="498">
        <v>5</v>
      </c>
      <c r="D31" s="499">
        <v>1.5</v>
      </c>
      <c r="E31" s="498">
        <v>2</v>
      </c>
      <c r="F31" s="499">
        <v>0.41</v>
      </c>
      <c r="G31" s="498">
        <v>1</v>
      </c>
      <c r="H31" s="499">
        <v>0.45</v>
      </c>
      <c r="I31" s="498"/>
      <c r="J31" s="499"/>
      <c r="K31" s="498">
        <v>0</v>
      </c>
      <c r="L31" s="499">
        <v>0</v>
      </c>
      <c r="M31" s="500">
        <v>8</v>
      </c>
      <c r="N31" s="501">
        <v>2.36</v>
      </c>
      <c r="O31" s="498">
        <v>2</v>
      </c>
      <c r="P31" s="499">
        <v>0.35</v>
      </c>
      <c r="Q31" s="498">
        <v>0</v>
      </c>
      <c r="R31" s="499">
        <v>0</v>
      </c>
      <c r="S31" s="500">
        <f>O31+Q31</f>
        <v>2</v>
      </c>
      <c r="T31" s="501">
        <f>P31+R31</f>
        <v>0.35</v>
      </c>
      <c r="U31" s="500">
        <f>M31+S31</f>
        <v>10</v>
      </c>
      <c r="V31" s="501">
        <f>N31+T31</f>
        <v>2.71</v>
      </c>
    </row>
    <row r="32" spans="1:22" ht="13.5">
      <c r="A32" s="502">
        <v>25</v>
      </c>
      <c r="B32" s="498" t="s">
        <v>228</v>
      </c>
      <c r="C32" s="498">
        <v>2</v>
      </c>
      <c r="D32" s="499">
        <v>0.49</v>
      </c>
      <c r="E32" s="498"/>
      <c r="F32" s="499"/>
      <c r="G32" s="498">
        <v>1</v>
      </c>
      <c r="H32" s="499">
        <v>0.15</v>
      </c>
      <c r="I32" s="498"/>
      <c r="J32" s="499"/>
      <c r="K32" s="498">
        <v>0</v>
      </c>
      <c r="L32" s="499">
        <v>0</v>
      </c>
      <c r="M32" s="500">
        <v>3</v>
      </c>
      <c r="N32" s="501">
        <v>0.63</v>
      </c>
      <c r="O32" s="498">
        <v>1</v>
      </c>
      <c r="P32" s="499">
        <v>0.27500000000000002</v>
      </c>
      <c r="Q32" s="498">
        <v>0</v>
      </c>
      <c r="R32" s="499">
        <v>0</v>
      </c>
      <c r="S32" s="500">
        <f>O32+Q32</f>
        <v>1</v>
      </c>
      <c r="T32" s="501">
        <f>P32+R32</f>
        <v>0.27500000000000002</v>
      </c>
      <c r="U32" s="500">
        <f>M32+S32</f>
        <v>4</v>
      </c>
      <c r="V32" s="501">
        <f>N32+T32</f>
        <v>0.90500000000000003</v>
      </c>
    </row>
    <row r="33" spans="1:22" ht="13.5">
      <c r="A33" s="502">
        <v>25</v>
      </c>
      <c r="B33" s="498" t="s">
        <v>52</v>
      </c>
      <c r="C33" s="498">
        <v>7</v>
      </c>
      <c r="D33" s="499">
        <v>2.64</v>
      </c>
      <c r="E33" s="498">
        <v>3</v>
      </c>
      <c r="F33" s="499">
        <v>0.64</v>
      </c>
      <c r="G33" s="498">
        <v>1</v>
      </c>
      <c r="H33" s="499">
        <v>0.1</v>
      </c>
      <c r="I33" s="498">
        <v>1</v>
      </c>
      <c r="J33" s="499">
        <v>0.1</v>
      </c>
      <c r="K33" s="498">
        <v>0</v>
      </c>
      <c r="L33" s="499">
        <v>0</v>
      </c>
      <c r="M33" s="498">
        <v>12</v>
      </c>
      <c r="N33" s="499">
        <v>3.47</v>
      </c>
      <c r="O33" s="498">
        <v>10</v>
      </c>
      <c r="P33" s="499">
        <v>1.5120300000000002</v>
      </c>
      <c r="Q33" s="498">
        <v>2</v>
      </c>
      <c r="R33" s="499">
        <v>0.85</v>
      </c>
      <c r="S33" s="498">
        <v>12</v>
      </c>
      <c r="T33" s="499">
        <v>2.3620299999999999</v>
      </c>
      <c r="U33" s="498">
        <v>24</v>
      </c>
      <c r="V33" s="499">
        <v>5.8320299999999996</v>
      </c>
    </row>
    <row r="34" spans="1:22" ht="13.5">
      <c r="A34" s="500"/>
      <c r="B34" s="500" t="s">
        <v>1160</v>
      </c>
      <c r="C34" s="500">
        <f>SUM(C31:C33)</f>
        <v>14</v>
      </c>
      <c r="D34" s="501">
        <f t="shared" ref="D34:V34" si="5">SUM(D31:D33)</f>
        <v>4.63</v>
      </c>
      <c r="E34" s="500">
        <f t="shared" si="5"/>
        <v>5</v>
      </c>
      <c r="F34" s="501">
        <f t="shared" si="5"/>
        <v>1.05</v>
      </c>
      <c r="G34" s="500">
        <f t="shared" si="5"/>
        <v>3</v>
      </c>
      <c r="H34" s="501">
        <f t="shared" si="5"/>
        <v>0.7</v>
      </c>
      <c r="I34" s="500">
        <f t="shared" si="5"/>
        <v>1</v>
      </c>
      <c r="J34" s="501">
        <f t="shared" si="5"/>
        <v>0.1</v>
      </c>
      <c r="K34" s="500">
        <f t="shared" si="5"/>
        <v>0</v>
      </c>
      <c r="L34" s="501">
        <f t="shared" si="5"/>
        <v>0</v>
      </c>
      <c r="M34" s="500">
        <f t="shared" si="5"/>
        <v>23</v>
      </c>
      <c r="N34" s="501">
        <f t="shared" si="5"/>
        <v>6.46</v>
      </c>
      <c r="O34" s="500">
        <f t="shared" si="5"/>
        <v>13</v>
      </c>
      <c r="P34" s="501">
        <f t="shared" si="5"/>
        <v>2.1370300000000002</v>
      </c>
      <c r="Q34" s="500">
        <f t="shared" si="5"/>
        <v>2</v>
      </c>
      <c r="R34" s="501">
        <f t="shared" si="5"/>
        <v>0.85</v>
      </c>
      <c r="S34" s="500">
        <f t="shared" si="5"/>
        <v>15</v>
      </c>
      <c r="T34" s="501">
        <f t="shared" si="5"/>
        <v>2.9870299999999999</v>
      </c>
      <c r="U34" s="500">
        <f t="shared" si="5"/>
        <v>38</v>
      </c>
      <c r="V34" s="501">
        <f t="shared" si="5"/>
        <v>9.4470299999999998</v>
      </c>
    </row>
    <row r="35" spans="1:22" ht="13.5">
      <c r="A35" s="502">
        <v>26</v>
      </c>
      <c r="B35" s="498" t="s">
        <v>71</v>
      </c>
      <c r="C35" s="498">
        <v>25</v>
      </c>
      <c r="D35" s="499">
        <v>5.08</v>
      </c>
      <c r="E35" s="498"/>
      <c r="F35" s="499"/>
      <c r="G35" s="498"/>
      <c r="H35" s="499"/>
      <c r="I35" s="498"/>
      <c r="J35" s="499"/>
      <c r="K35" s="498">
        <v>0</v>
      </c>
      <c r="L35" s="499">
        <v>0</v>
      </c>
      <c r="M35" s="500">
        <v>25</v>
      </c>
      <c r="N35" s="501">
        <v>5.08</v>
      </c>
      <c r="O35" s="498"/>
      <c r="P35" s="499"/>
      <c r="Q35" s="498">
        <v>0</v>
      </c>
      <c r="R35" s="499">
        <v>0</v>
      </c>
      <c r="S35" s="500">
        <f t="shared" ref="S35:T37" si="6">O35+Q35</f>
        <v>0</v>
      </c>
      <c r="T35" s="501">
        <f t="shared" si="6"/>
        <v>0</v>
      </c>
      <c r="U35" s="500">
        <f t="shared" ref="U35:V37" si="7">M35+S35</f>
        <v>25</v>
      </c>
      <c r="V35" s="501">
        <f t="shared" si="7"/>
        <v>5.08</v>
      </c>
    </row>
    <row r="36" spans="1:22" ht="13.5">
      <c r="A36" s="502">
        <v>27</v>
      </c>
      <c r="B36" s="498" t="s">
        <v>72</v>
      </c>
      <c r="C36" s="498">
        <v>9</v>
      </c>
      <c r="D36" s="499">
        <v>1.89</v>
      </c>
      <c r="E36" s="498"/>
      <c r="F36" s="499"/>
      <c r="G36" s="498"/>
      <c r="H36" s="499"/>
      <c r="I36" s="498"/>
      <c r="J36" s="499"/>
      <c r="K36" s="498">
        <v>0</v>
      </c>
      <c r="L36" s="499">
        <v>0</v>
      </c>
      <c r="M36" s="500">
        <v>9</v>
      </c>
      <c r="N36" s="501">
        <v>1.89</v>
      </c>
      <c r="O36" s="498"/>
      <c r="P36" s="499"/>
      <c r="Q36" s="498">
        <v>0</v>
      </c>
      <c r="R36" s="499">
        <v>0</v>
      </c>
      <c r="S36" s="500">
        <f t="shared" si="6"/>
        <v>0</v>
      </c>
      <c r="T36" s="501">
        <f t="shared" si="6"/>
        <v>0</v>
      </c>
      <c r="U36" s="500">
        <f t="shared" si="7"/>
        <v>9</v>
      </c>
      <c r="V36" s="501">
        <f t="shared" si="7"/>
        <v>1.89</v>
      </c>
    </row>
    <row r="37" spans="1:22" ht="13.5">
      <c r="A37" s="502">
        <v>28</v>
      </c>
      <c r="B37" s="498" t="s">
        <v>475</v>
      </c>
      <c r="C37" s="498">
        <v>29</v>
      </c>
      <c r="D37" s="499">
        <v>6.4</v>
      </c>
      <c r="E37" s="498"/>
      <c r="F37" s="499"/>
      <c r="G37" s="498"/>
      <c r="H37" s="499"/>
      <c r="I37" s="498"/>
      <c r="J37" s="499"/>
      <c r="K37" s="498">
        <v>0</v>
      </c>
      <c r="L37" s="499">
        <v>0</v>
      </c>
      <c r="M37" s="500">
        <v>29</v>
      </c>
      <c r="N37" s="501">
        <v>6.4</v>
      </c>
      <c r="O37" s="498">
        <v>3</v>
      </c>
      <c r="P37" s="499">
        <v>0.41699999999999998</v>
      </c>
      <c r="Q37" s="498">
        <v>1</v>
      </c>
      <c r="R37" s="499">
        <v>0.156</v>
      </c>
      <c r="S37" s="500">
        <f t="shared" si="6"/>
        <v>4</v>
      </c>
      <c r="T37" s="501">
        <f t="shared" si="6"/>
        <v>0.57299999999999995</v>
      </c>
      <c r="U37" s="500">
        <f t="shared" si="7"/>
        <v>33</v>
      </c>
      <c r="V37" s="501">
        <f t="shared" si="7"/>
        <v>6.9730000000000008</v>
      </c>
    </row>
    <row r="38" spans="1:22" ht="13.5">
      <c r="A38" s="500"/>
      <c r="B38" s="500" t="s">
        <v>1161</v>
      </c>
      <c r="C38" s="500">
        <f>SUM(C35:C37)</f>
        <v>63</v>
      </c>
      <c r="D38" s="501">
        <f t="shared" ref="D38:V38" si="8">SUM(D35:D37)</f>
        <v>13.370000000000001</v>
      </c>
      <c r="E38" s="500">
        <f t="shared" si="8"/>
        <v>0</v>
      </c>
      <c r="F38" s="501">
        <f t="shared" si="8"/>
        <v>0</v>
      </c>
      <c r="G38" s="500">
        <f t="shared" si="8"/>
        <v>0</v>
      </c>
      <c r="H38" s="501">
        <f t="shared" si="8"/>
        <v>0</v>
      </c>
      <c r="I38" s="500">
        <f t="shared" si="8"/>
        <v>0</v>
      </c>
      <c r="J38" s="501">
        <f t="shared" si="8"/>
        <v>0</v>
      </c>
      <c r="K38" s="500">
        <f t="shared" si="8"/>
        <v>0</v>
      </c>
      <c r="L38" s="501">
        <f t="shared" si="8"/>
        <v>0</v>
      </c>
      <c r="M38" s="500">
        <f t="shared" si="8"/>
        <v>63</v>
      </c>
      <c r="N38" s="501">
        <f t="shared" si="8"/>
        <v>13.370000000000001</v>
      </c>
      <c r="O38" s="500">
        <f t="shared" si="8"/>
        <v>3</v>
      </c>
      <c r="P38" s="501">
        <f t="shared" si="8"/>
        <v>0.41699999999999998</v>
      </c>
      <c r="Q38" s="500">
        <f t="shared" si="8"/>
        <v>1</v>
      </c>
      <c r="R38" s="501">
        <f t="shared" si="8"/>
        <v>0.156</v>
      </c>
      <c r="S38" s="500">
        <f t="shared" si="8"/>
        <v>4</v>
      </c>
      <c r="T38" s="501">
        <f t="shared" si="8"/>
        <v>0.57299999999999995</v>
      </c>
      <c r="U38" s="500">
        <f t="shared" si="8"/>
        <v>67</v>
      </c>
      <c r="V38" s="501">
        <f t="shared" si="8"/>
        <v>13.943000000000001</v>
      </c>
    </row>
    <row r="39" spans="1:22" ht="13.5">
      <c r="A39" s="500"/>
      <c r="B39" s="500" t="s">
        <v>290</v>
      </c>
      <c r="C39" s="500">
        <f>C38+C34+C30</f>
        <v>1099</v>
      </c>
      <c r="D39" s="501">
        <f t="shared" ref="D39:V39" si="9">D38+D34+D30</f>
        <v>247.68999999999997</v>
      </c>
      <c r="E39" s="500">
        <f t="shared" si="9"/>
        <v>68</v>
      </c>
      <c r="F39" s="501">
        <f t="shared" si="9"/>
        <v>16.34</v>
      </c>
      <c r="G39" s="500">
        <f t="shared" si="9"/>
        <v>154</v>
      </c>
      <c r="H39" s="501">
        <f t="shared" si="9"/>
        <v>32.000000000000007</v>
      </c>
      <c r="I39" s="500">
        <f t="shared" si="9"/>
        <v>54</v>
      </c>
      <c r="J39" s="501">
        <f t="shared" si="9"/>
        <v>10.069999999999999</v>
      </c>
      <c r="K39" s="500">
        <f t="shared" si="9"/>
        <v>17</v>
      </c>
      <c r="L39" s="501">
        <f t="shared" si="9"/>
        <v>3.79</v>
      </c>
      <c r="M39" s="500">
        <f t="shared" si="9"/>
        <v>1392</v>
      </c>
      <c r="N39" s="501">
        <f t="shared" si="9"/>
        <v>309.87</v>
      </c>
      <c r="O39" s="500">
        <f t="shared" si="9"/>
        <v>231</v>
      </c>
      <c r="P39" s="501">
        <f t="shared" si="9"/>
        <v>43.738199999999992</v>
      </c>
      <c r="Q39" s="500">
        <f t="shared" si="9"/>
        <v>92</v>
      </c>
      <c r="R39" s="501">
        <f t="shared" si="9"/>
        <v>17.049422</v>
      </c>
      <c r="S39" s="500">
        <f t="shared" si="9"/>
        <v>323</v>
      </c>
      <c r="T39" s="501">
        <f t="shared" si="9"/>
        <v>60.787621999999992</v>
      </c>
      <c r="U39" s="500">
        <f t="shared" si="9"/>
        <v>1715</v>
      </c>
      <c r="V39" s="501">
        <f t="shared" si="9"/>
        <v>370.657622</v>
      </c>
    </row>
    <row r="40" spans="1:22" ht="15" customHeight="1">
      <c r="A40" s="743" t="s">
        <v>777</v>
      </c>
      <c r="B40" s="743"/>
      <c r="C40" s="743"/>
      <c r="D40" s="743"/>
      <c r="E40" s="743"/>
      <c r="F40" s="743"/>
      <c r="G40" s="743"/>
      <c r="H40" s="743"/>
      <c r="I40" s="743"/>
      <c r="J40" s="743"/>
      <c r="K40" s="743"/>
      <c r="L40" s="743"/>
      <c r="M40" s="743"/>
      <c r="N40" s="743"/>
      <c r="O40" s="743"/>
      <c r="P40" s="743"/>
      <c r="Q40" s="743"/>
      <c r="R40" s="743"/>
      <c r="S40" s="743"/>
      <c r="T40" s="743"/>
      <c r="U40" s="743"/>
      <c r="V40" s="743"/>
    </row>
  </sheetData>
  <mergeCells count="17">
    <mergeCell ref="A1:V1"/>
    <mergeCell ref="A2:V2"/>
    <mergeCell ref="O4:T4"/>
    <mergeCell ref="U4:V5"/>
    <mergeCell ref="C5:D5"/>
    <mergeCell ref="G5:H5"/>
    <mergeCell ref="I5:J5"/>
    <mergeCell ref="M5:N5"/>
    <mergeCell ref="O5:P5"/>
    <mergeCell ref="Q5:R5"/>
    <mergeCell ref="S5:T5"/>
    <mergeCell ref="E5:F5"/>
    <mergeCell ref="K5:L5"/>
    <mergeCell ref="A4:A6"/>
    <mergeCell ref="B4:B6"/>
    <mergeCell ref="C4:N4"/>
    <mergeCell ref="A40:V40"/>
  </mergeCells>
  <pageMargins left="0.7" right="0.7" top="0.5" bottom="0.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Normal="100" workbookViewId="0">
      <pane xSplit="2" ySplit="5" topLeftCell="C45" activePane="bottomRight" state="frozen"/>
      <selection pane="topRight" activeCell="C1" sqref="C1"/>
      <selection pane="bottomLeft" activeCell="A6" sqref="A6"/>
      <selection pane="bottomRight" activeCell="O31" sqref="O31"/>
    </sheetView>
  </sheetViews>
  <sheetFormatPr defaultRowHeight="12.75"/>
  <cols>
    <col min="1" max="1" width="6.85546875" style="562" bestFit="1" customWidth="1"/>
    <col min="2" max="2" width="21.42578125" style="551" customWidth="1"/>
    <col min="3" max="3" width="10.28515625" style="551" customWidth="1"/>
    <col min="4" max="4" width="10.28515625" style="566" customWidth="1"/>
    <col min="5" max="5" width="8.7109375" style="551" customWidth="1"/>
    <col min="6" max="6" width="12.42578125" style="566" customWidth="1"/>
    <col min="7" max="7" width="9.28515625" style="551" customWidth="1"/>
    <col min="8" max="8" width="10.28515625" style="566" customWidth="1"/>
    <col min="9" max="9" width="10.28515625" style="551" customWidth="1"/>
    <col min="10" max="10" width="10.28515625" style="566" customWidth="1"/>
    <col min="11" max="11" width="12" style="551" customWidth="1"/>
    <col min="12" max="16384" width="9.140625" style="551"/>
  </cols>
  <sheetData>
    <row r="1" spans="1:11" s="547" customFormat="1" ht="34.5" customHeight="1">
      <c r="A1" s="753" t="s">
        <v>1212</v>
      </c>
      <c r="B1" s="754"/>
      <c r="C1" s="754"/>
      <c r="D1" s="754"/>
      <c r="E1" s="754"/>
      <c r="F1" s="754"/>
      <c r="G1" s="754"/>
      <c r="H1" s="754"/>
      <c r="I1" s="754"/>
      <c r="J1" s="754"/>
      <c r="K1" s="755"/>
    </row>
    <row r="2" spans="1:11" ht="36.75" customHeight="1">
      <c r="A2" s="548" t="s">
        <v>1210</v>
      </c>
      <c r="B2" s="549" t="s">
        <v>1213</v>
      </c>
      <c r="C2" s="756" t="s">
        <v>1214</v>
      </c>
      <c r="D2" s="756"/>
      <c r="E2" s="756" t="s">
        <v>1215</v>
      </c>
      <c r="F2" s="756"/>
      <c r="G2" s="756" t="s">
        <v>1216</v>
      </c>
      <c r="H2" s="756"/>
      <c r="I2" s="756" t="s">
        <v>1217</v>
      </c>
      <c r="J2" s="756"/>
      <c r="K2" s="550" t="s">
        <v>1218</v>
      </c>
    </row>
    <row r="3" spans="1:11">
      <c r="A3" s="552"/>
      <c r="B3" s="553"/>
      <c r="C3" s="553" t="s">
        <v>1211</v>
      </c>
      <c r="D3" s="563" t="s">
        <v>23</v>
      </c>
      <c r="E3" s="553" t="s">
        <v>1211</v>
      </c>
      <c r="F3" s="563" t="s">
        <v>23</v>
      </c>
      <c r="G3" s="553" t="s">
        <v>1211</v>
      </c>
      <c r="H3" s="563" t="s">
        <v>23</v>
      </c>
      <c r="I3" s="553" t="s">
        <v>1211</v>
      </c>
      <c r="J3" s="563" t="s">
        <v>23</v>
      </c>
      <c r="K3" s="554" t="s">
        <v>23</v>
      </c>
    </row>
    <row r="4" spans="1:11" ht="12.75" customHeight="1">
      <c r="A4" s="552">
        <v>1</v>
      </c>
      <c r="B4" s="553">
        <v>2</v>
      </c>
      <c r="C4" s="553">
        <v>3</v>
      </c>
      <c r="D4" s="563">
        <v>4</v>
      </c>
      <c r="E4" s="553">
        <v>5</v>
      </c>
      <c r="F4" s="563">
        <v>6</v>
      </c>
      <c r="G4" s="553">
        <v>7</v>
      </c>
      <c r="H4" s="563">
        <v>8</v>
      </c>
      <c r="I4" s="553">
        <v>9</v>
      </c>
      <c r="J4" s="563">
        <v>10</v>
      </c>
      <c r="K4" s="554">
        <v>11</v>
      </c>
    </row>
    <row r="5" spans="1:11" ht="14.25">
      <c r="A5" s="555">
        <v>1</v>
      </c>
      <c r="B5" s="556" t="s">
        <v>1235</v>
      </c>
      <c r="C5" s="557">
        <v>455</v>
      </c>
      <c r="D5" s="564">
        <v>659.03</v>
      </c>
      <c r="E5" s="557">
        <v>747</v>
      </c>
      <c r="F5" s="564">
        <v>926.28</v>
      </c>
      <c r="G5" s="557">
        <v>656</v>
      </c>
      <c r="H5" s="564">
        <v>783.49999999999989</v>
      </c>
      <c r="I5" s="557">
        <v>589</v>
      </c>
      <c r="J5" s="564">
        <v>691</v>
      </c>
      <c r="K5" s="558">
        <f t="shared" ref="K5:K36" si="0">+J5/D5</f>
        <v>1.0485106899534165</v>
      </c>
    </row>
    <row r="6" spans="1:11" ht="14.25">
      <c r="A6" s="555">
        <v>2</v>
      </c>
      <c r="B6" s="556" t="s">
        <v>1228</v>
      </c>
      <c r="C6" s="557">
        <v>716</v>
      </c>
      <c r="D6" s="564">
        <v>1145.5999999999999</v>
      </c>
      <c r="E6" s="557">
        <v>1493</v>
      </c>
      <c r="F6" s="564">
        <v>2047.8</v>
      </c>
      <c r="G6" s="557">
        <v>1314</v>
      </c>
      <c r="H6" s="564">
        <v>1658.5</v>
      </c>
      <c r="I6" s="557">
        <v>1217</v>
      </c>
      <c r="J6" s="564">
        <v>1319.95</v>
      </c>
      <c r="K6" s="558">
        <f t="shared" si="0"/>
        <v>1.1521909916201118</v>
      </c>
    </row>
    <row r="7" spans="1:11" ht="14.25">
      <c r="A7" s="555">
        <v>3</v>
      </c>
      <c r="B7" s="556" t="s">
        <v>1236</v>
      </c>
      <c r="C7" s="557">
        <v>485</v>
      </c>
      <c r="D7" s="564">
        <v>776</v>
      </c>
      <c r="E7" s="557">
        <v>1686</v>
      </c>
      <c r="F7" s="564">
        <v>1589.2228400000001</v>
      </c>
      <c r="G7" s="557">
        <v>1177</v>
      </c>
      <c r="H7" s="564">
        <v>954.23480000000006</v>
      </c>
      <c r="I7" s="557">
        <v>1086</v>
      </c>
      <c r="J7" s="564">
        <v>802.70140000000004</v>
      </c>
      <c r="K7" s="558">
        <f t="shared" si="0"/>
        <v>1.0344090206185568</v>
      </c>
    </row>
    <row r="8" spans="1:11" ht="14.25">
      <c r="A8" s="555">
        <v>4</v>
      </c>
      <c r="B8" s="556" t="s">
        <v>1266</v>
      </c>
      <c r="C8" s="557">
        <v>342</v>
      </c>
      <c r="D8" s="564">
        <v>325</v>
      </c>
      <c r="E8" s="559">
        <v>242</v>
      </c>
      <c r="F8" s="567">
        <v>368.02</v>
      </c>
      <c r="G8" s="557">
        <v>54</v>
      </c>
      <c r="H8" s="564">
        <v>128.19999999999999</v>
      </c>
      <c r="I8" s="559">
        <v>21</v>
      </c>
      <c r="J8" s="567">
        <v>63</v>
      </c>
      <c r="K8" s="558">
        <f t="shared" si="0"/>
        <v>0.19384615384615383</v>
      </c>
    </row>
    <row r="9" spans="1:11" ht="14.25">
      <c r="A9" s="555">
        <v>5</v>
      </c>
      <c r="B9" s="556" t="s">
        <v>1259</v>
      </c>
      <c r="C9" s="557">
        <v>896</v>
      </c>
      <c r="D9" s="564">
        <v>1000</v>
      </c>
      <c r="E9" s="557">
        <v>296</v>
      </c>
      <c r="F9" s="564">
        <v>764.18431999999996</v>
      </c>
      <c r="G9" s="557">
        <v>193</v>
      </c>
      <c r="H9" s="564">
        <v>560.87512000000004</v>
      </c>
      <c r="I9" s="557">
        <v>187</v>
      </c>
      <c r="J9" s="564">
        <v>543.47512000000006</v>
      </c>
      <c r="K9" s="558">
        <f t="shared" si="0"/>
        <v>0.54347512000000009</v>
      </c>
    </row>
    <row r="10" spans="1:11" ht="14.25">
      <c r="A10" s="555">
        <v>6</v>
      </c>
      <c r="B10" s="556" t="s">
        <v>1229</v>
      </c>
      <c r="C10" s="557">
        <v>1171</v>
      </c>
      <c r="D10" s="564">
        <v>1873.6</v>
      </c>
      <c r="E10" s="557">
        <v>3095</v>
      </c>
      <c r="F10" s="564">
        <v>3655.34</v>
      </c>
      <c r="G10" s="557">
        <v>2675</v>
      </c>
      <c r="H10" s="564">
        <v>3121.1000000000004</v>
      </c>
      <c r="I10" s="557">
        <v>2217</v>
      </c>
      <c r="J10" s="564">
        <v>2049.5699999999997</v>
      </c>
      <c r="K10" s="558">
        <f t="shared" si="0"/>
        <v>1.0939207941929974</v>
      </c>
    </row>
    <row r="11" spans="1:11" ht="14.25">
      <c r="A11" s="555">
        <v>7</v>
      </c>
      <c r="B11" s="556" t="s">
        <v>1265</v>
      </c>
      <c r="C11" s="557">
        <v>450</v>
      </c>
      <c r="D11" s="564">
        <v>543.61</v>
      </c>
      <c r="E11" s="557">
        <v>169</v>
      </c>
      <c r="F11" s="564">
        <v>108.75</v>
      </c>
      <c r="G11" s="557">
        <v>169</v>
      </c>
      <c r="H11" s="564">
        <v>108.75</v>
      </c>
      <c r="I11" s="557">
        <v>169</v>
      </c>
      <c r="J11" s="564">
        <v>108.75</v>
      </c>
      <c r="K11" s="558">
        <f t="shared" si="0"/>
        <v>0.20005150751457845</v>
      </c>
    </row>
    <row r="12" spans="1:11" ht="14.25">
      <c r="A12" s="555">
        <v>8</v>
      </c>
      <c r="B12" s="556" t="s">
        <v>1268</v>
      </c>
      <c r="C12" s="557">
        <v>314</v>
      </c>
      <c r="D12" s="564">
        <v>322</v>
      </c>
      <c r="E12" s="559">
        <v>92</v>
      </c>
      <c r="F12" s="567">
        <v>92</v>
      </c>
      <c r="G12" s="557">
        <v>43</v>
      </c>
      <c r="H12" s="564">
        <v>43</v>
      </c>
      <c r="I12" s="559">
        <v>28</v>
      </c>
      <c r="J12" s="567">
        <v>28</v>
      </c>
      <c r="K12" s="558">
        <f t="shared" si="0"/>
        <v>8.6956521739130432E-2</v>
      </c>
    </row>
    <row r="13" spans="1:11" ht="14.25">
      <c r="A13" s="555">
        <v>9</v>
      </c>
      <c r="B13" s="556" t="s">
        <v>1219</v>
      </c>
      <c r="C13" s="557">
        <v>249</v>
      </c>
      <c r="D13" s="564">
        <v>300</v>
      </c>
      <c r="E13" s="559">
        <v>521</v>
      </c>
      <c r="F13" s="567">
        <v>1239.3800000000001</v>
      </c>
      <c r="G13" s="559">
        <v>521</v>
      </c>
      <c r="H13" s="567">
        <v>1239.3800000000001</v>
      </c>
      <c r="I13" s="559">
        <v>521</v>
      </c>
      <c r="J13" s="567">
        <v>1239.3800000000001</v>
      </c>
      <c r="K13" s="558">
        <f t="shared" si="0"/>
        <v>4.1312666666666669</v>
      </c>
    </row>
    <row r="14" spans="1:11" ht="14.25">
      <c r="A14" s="555">
        <v>10</v>
      </c>
      <c r="B14" s="556" t="s">
        <v>1264</v>
      </c>
      <c r="C14" s="557">
        <v>179</v>
      </c>
      <c r="D14" s="564">
        <v>137.13999999999999</v>
      </c>
      <c r="E14" s="559">
        <v>112</v>
      </c>
      <c r="F14" s="567">
        <v>176.3</v>
      </c>
      <c r="G14" s="557">
        <v>53</v>
      </c>
      <c r="H14" s="564">
        <v>36.479999999999997</v>
      </c>
      <c r="I14" s="559">
        <v>53</v>
      </c>
      <c r="J14" s="567">
        <v>36.479999999999997</v>
      </c>
      <c r="K14" s="558">
        <f t="shared" si="0"/>
        <v>0.26600554178212049</v>
      </c>
    </row>
    <row r="15" spans="1:11" ht="14.25">
      <c r="A15" s="555">
        <v>11</v>
      </c>
      <c r="B15" s="556" t="s">
        <v>1244</v>
      </c>
      <c r="C15" s="557">
        <v>1234</v>
      </c>
      <c r="D15" s="564">
        <v>1788.58</v>
      </c>
      <c r="E15" s="557">
        <v>1450</v>
      </c>
      <c r="F15" s="564">
        <v>2039</v>
      </c>
      <c r="G15" s="557">
        <v>1433</v>
      </c>
      <c r="H15" s="564">
        <v>1805</v>
      </c>
      <c r="I15" s="557">
        <v>1380</v>
      </c>
      <c r="J15" s="564">
        <v>1723</v>
      </c>
      <c r="K15" s="558">
        <f t="shared" si="0"/>
        <v>0.96333404153015245</v>
      </c>
    </row>
    <row r="16" spans="1:11" ht="14.25">
      <c r="A16" s="555">
        <v>12</v>
      </c>
      <c r="B16" s="556" t="s">
        <v>1252</v>
      </c>
      <c r="C16" s="557">
        <v>484</v>
      </c>
      <c r="D16" s="564">
        <v>551</v>
      </c>
      <c r="E16" s="559">
        <v>451</v>
      </c>
      <c r="F16" s="567">
        <v>595.3900000000001</v>
      </c>
      <c r="G16" s="557">
        <v>340</v>
      </c>
      <c r="H16" s="564">
        <v>440.70000000000005</v>
      </c>
      <c r="I16" s="559">
        <v>340</v>
      </c>
      <c r="J16" s="567">
        <v>440.70000000000005</v>
      </c>
      <c r="K16" s="558">
        <f t="shared" si="0"/>
        <v>0.79981851179673324</v>
      </c>
    </row>
    <row r="17" spans="1:11" ht="14.25">
      <c r="A17" s="555">
        <v>13</v>
      </c>
      <c r="B17" s="556" t="s">
        <v>1230</v>
      </c>
      <c r="C17" s="557">
        <v>855</v>
      </c>
      <c r="D17" s="564">
        <v>1239.03</v>
      </c>
      <c r="E17" s="557">
        <v>566</v>
      </c>
      <c r="F17" s="564">
        <v>1350.01</v>
      </c>
      <c r="G17" s="557">
        <v>566</v>
      </c>
      <c r="H17" s="564">
        <v>1350.01</v>
      </c>
      <c r="I17" s="557">
        <v>566</v>
      </c>
      <c r="J17" s="564">
        <v>1350.01</v>
      </c>
      <c r="K17" s="558">
        <f t="shared" si="0"/>
        <v>1.0895700669071775</v>
      </c>
    </row>
    <row r="18" spans="1:11" ht="14.25">
      <c r="A18" s="555">
        <v>14</v>
      </c>
      <c r="B18" s="556" t="s">
        <v>1263</v>
      </c>
      <c r="C18" s="557">
        <v>213</v>
      </c>
      <c r="D18" s="564">
        <v>161</v>
      </c>
      <c r="E18" s="557">
        <v>160</v>
      </c>
      <c r="F18" s="564">
        <v>245</v>
      </c>
      <c r="G18" s="557">
        <v>48</v>
      </c>
      <c r="H18" s="564">
        <v>79</v>
      </c>
      <c r="I18" s="557">
        <v>44</v>
      </c>
      <c r="J18" s="564">
        <v>50</v>
      </c>
      <c r="K18" s="558">
        <f t="shared" si="0"/>
        <v>0.3105590062111801</v>
      </c>
    </row>
    <row r="19" spans="1:11" ht="14.25">
      <c r="A19" s="555">
        <v>15</v>
      </c>
      <c r="B19" s="556" t="s">
        <v>1221</v>
      </c>
      <c r="C19" s="557">
        <v>439</v>
      </c>
      <c r="D19" s="564">
        <v>636.54999999999995</v>
      </c>
      <c r="E19" s="557">
        <v>589</v>
      </c>
      <c r="F19" s="564">
        <v>1373.07</v>
      </c>
      <c r="G19" s="557">
        <v>589</v>
      </c>
      <c r="H19" s="564">
        <v>1373.07</v>
      </c>
      <c r="I19" s="557">
        <v>589</v>
      </c>
      <c r="J19" s="564">
        <v>1373.07</v>
      </c>
      <c r="K19" s="558">
        <f t="shared" si="0"/>
        <v>2.1570497211530908</v>
      </c>
    </row>
    <row r="20" spans="1:11" ht="14.25">
      <c r="A20" s="555">
        <v>16</v>
      </c>
      <c r="B20" s="556" t="s">
        <v>1226</v>
      </c>
      <c r="C20" s="557">
        <v>1637</v>
      </c>
      <c r="D20" s="564">
        <v>2618.4</v>
      </c>
      <c r="E20" s="557">
        <v>3462</v>
      </c>
      <c r="F20" s="564">
        <v>3861.9399999999996</v>
      </c>
      <c r="G20" s="557">
        <v>3396</v>
      </c>
      <c r="H20" s="564">
        <v>3664.9000000000005</v>
      </c>
      <c r="I20" s="557">
        <v>2942</v>
      </c>
      <c r="J20" s="564">
        <v>3029.3199999999997</v>
      </c>
      <c r="K20" s="558">
        <f t="shared" si="0"/>
        <v>1.1569355331500151</v>
      </c>
    </row>
    <row r="21" spans="1:11" ht="14.25">
      <c r="A21" s="555">
        <v>17</v>
      </c>
      <c r="B21" s="556" t="s">
        <v>1249</v>
      </c>
      <c r="C21" s="557">
        <v>1171</v>
      </c>
      <c r="D21" s="564">
        <v>1873.6</v>
      </c>
      <c r="E21" s="557">
        <v>2013</v>
      </c>
      <c r="F21" s="564">
        <v>2115.0500000000002</v>
      </c>
      <c r="G21" s="557">
        <v>1659</v>
      </c>
      <c r="H21" s="564">
        <v>1835.69</v>
      </c>
      <c r="I21" s="557">
        <v>1505</v>
      </c>
      <c r="J21" s="564">
        <v>1688.4900000000002</v>
      </c>
      <c r="K21" s="558">
        <f t="shared" si="0"/>
        <v>0.90120089666951342</v>
      </c>
    </row>
    <row r="22" spans="1:11" ht="14.25">
      <c r="A22" s="555">
        <v>18</v>
      </c>
      <c r="B22" s="556" t="s">
        <v>1255</v>
      </c>
      <c r="C22" s="557">
        <v>670</v>
      </c>
      <c r="D22" s="564">
        <v>971.5</v>
      </c>
      <c r="E22" s="557">
        <v>725</v>
      </c>
      <c r="F22" s="564">
        <v>982.19999999999993</v>
      </c>
      <c r="G22" s="557">
        <v>838</v>
      </c>
      <c r="H22" s="564">
        <v>1071.1500000000001</v>
      </c>
      <c r="I22" s="557">
        <v>522</v>
      </c>
      <c r="J22" s="564">
        <v>704.6</v>
      </c>
      <c r="K22" s="558">
        <f t="shared" si="0"/>
        <v>0.72527020072053527</v>
      </c>
    </row>
    <row r="23" spans="1:11" ht="14.25">
      <c r="A23" s="555">
        <v>19</v>
      </c>
      <c r="B23" s="556" t="s">
        <v>1250</v>
      </c>
      <c r="C23" s="557">
        <v>296</v>
      </c>
      <c r="D23" s="564">
        <v>321.45</v>
      </c>
      <c r="E23" s="559">
        <v>337</v>
      </c>
      <c r="F23" s="567">
        <v>416.13000000000005</v>
      </c>
      <c r="G23" s="557">
        <v>194</v>
      </c>
      <c r="H23" s="564">
        <v>277.34000000000003</v>
      </c>
      <c r="I23" s="559">
        <v>190</v>
      </c>
      <c r="J23" s="567">
        <v>271.34000000000003</v>
      </c>
      <c r="K23" s="558">
        <f t="shared" si="0"/>
        <v>0.84411261471457466</v>
      </c>
    </row>
    <row r="24" spans="1:11" ht="14.25">
      <c r="A24" s="555">
        <v>20</v>
      </c>
      <c r="B24" s="556" t="s">
        <v>1267</v>
      </c>
      <c r="C24" s="557">
        <v>213</v>
      </c>
      <c r="D24" s="564">
        <v>187.95</v>
      </c>
      <c r="E24" s="557">
        <v>34</v>
      </c>
      <c r="F24" s="564">
        <v>58.1</v>
      </c>
      <c r="G24" s="557">
        <v>19</v>
      </c>
      <c r="H24" s="564">
        <v>32.1</v>
      </c>
      <c r="I24" s="557">
        <v>18</v>
      </c>
      <c r="J24" s="564">
        <v>27.5</v>
      </c>
      <c r="K24" s="558">
        <f t="shared" si="0"/>
        <v>0.14631550944400107</v>
      </c>
    </row>
    <row r="25" spans="1:11" ht="14.25">
      <c r="A25" s="555">
        <v>21</v>
      </c>
      <c r="B25" s="556" t="s">
        <v>1227</v>
      </c>
      <c r="C25" s="557">
        <v>457</v>
      </c>
      <c r="D25" s="564">
        <v>554</v>
      </c>
      <c r="E25" s="557">
        <v>236</v>
      </c>
      <c r="F25" s="564">
        <v>639.75</v>
      </c>
      <c r="G25" s="557">
        <v>236</v>
      </c>
      <c r="H25" s="564">
        <v>639.75</v>
      </c>
      <c r="I25" s="557">
        <v>236</v>
      </c>
      <c r="J25" s="564">
        <v>639.75</v>
      </c>
      <c r="K25" s="558">
        <f t="shared" si="0"/>
        <v>1.154783393501805</v>
      </c>
    </row>
    <row r="26" spans="1:11" ht="14.25">
      <c r="A26" s="555">
        <v>22</v>
      </c>
      <c r="B26" s="556" t="s">
        <v>1233</v>
      </c>
      <c r="C26" s="557">
        <v>348</v>
      </c>
      <c r="D26" s="564">
        <v>394</v>
      </c>
      <c r="E26" s="559">
        <v>189</v>
      </c>
      <c r="F26" s="567">
        <v>724.19</v>
      </c>
      <c r="G26" s="557">
        <v>141</v>
      </c>
      <c r="H26" s="564">
        <v>416.26</v>
      </c>
      <c r="I26" s="559">
        <v>141</v>
      </c>
      <c r="J26" s="567">
        <v>416.26</v>
      </c>
      <c r="K26" s="558">
        <f t="shared" si="0"/>
        <v>1.056497461928934</v>
      </c>
    </row>
    <row r="27" spans="1:11" ht="14.25">
      <c r="A27" s="555">
        <v>23</v>
      </c>
      <c r="B27" s="556" t="s">
        <v>1258</v>
      </c>
      <c r="C27" s="557">
        <v>572</v>
      </c>
      <c r="D27" s="564">
        <v>644</v>
      </c>
      <c r="E27" s="559">
        <v>146</v>
      </c>
      <c r="F27" s="567">
        <v>419.16</v>
      </c>
      <c r="G27" s="557">
        <v>125</v>
      </c>
      <c r="H27" s="564">
        <v>353.40699999999998</v>
      </c>
      <c r="I27" s="559">
        <v>124</v>
      </c>
      <c r="J27" s="567">
        <v>352.40699999999998</v>
      </c>
      <c r="K27" s="558">
        <f t="shared" si="0"/>
        <v>0.54721583850931677</v>
      </c>
    </row>
    <row r="28" spans="1:11" ht="14.25">
      <c r="A28" s="555">
        <v>24</v>
      </c>
      <c r="B28" s="556" t="s">
        <v>1225</v>
      </c>
      <c r="C28" s="557">
        <v>1409</v>
      </c>
      <c r="D28" s="564">
        <v>2253.6</v>
      </c>
      <c r="E28" s="557">
        <v>2335</v>
      </c>
      <c r="F28" s="564">
        <v>5011.01</v>
      </c>
      <c r="G28" s="557">
        <v>2097</v>
      </c>
      <c r="H28" s="564">
        <v>3748.33</v>
      </c>
      <c r="I28" s="557">
        <v>2097</v>
      </c>
      <c r="J28" s="564">
        <v>2751.52</v>
      </c>
      <c r="K28" s="558">
        <f t="shared" si="0"/>
        <v>1.2209442669506567</v>
      </c>
    </row>
    <row r="29" spans="1:11" ht="14.25">
      <c r="A29" s="555">
        <v>25</v>
      </c>
      <c r="B29" s="556" t="s">
        <v>1220</v>
      </c>
      <c r="C29" s="557">
        <v>314</v>
      </c>
      <c r="D29" s="564">
        <v>368</v>
      </c>
      <c r="E29" s="559">
        <v>672</v>
      </c>
      <c r="F29" s="567">
        <v>1135.68</v>
      </c>
      <c r="G29" s="559">
        <v>672</v>
      </c>
      <c r="H29" s="567">
        <v>1135.68</v>
      </c>
      <c r="I29" s="559">
        <v>672</v>
      </c>
      <c r="J29" s="567">
        <v>1135.68</v>
      </c>
      <c r="K29" s="558">
        <f t="shared" si="0"/>
        <v>3.0860869565217395</v>
      </c>
    </row>
    <row r="30" spans="1:11" ht="14.25">
      <c r="A30" s="555">
        <v>26</v>
      </c>
      <c r="B30" s="556" t="s">
        <v>1238</v>
      </c>
      <c r="C30" s="557">
        <v>503</v>
      </c>
      <c r="D30" s="564">
        <v>650</v>
      </c>
      <c r="E30" s="559">
        <v>645</v>
      </c>
      <c r="F30" s="567">
        <v>1145.0400000000002</v>
      </c>
      <c r="G30" s="557">
        <v>631</v>
      </c>
      <c r="H30" s="564">
        <v>831.19999999999993</v>
      </c>
      <c r="I30" s="559">
        <v>517</v>
      </c>
      <c r="J30" s="567">
        <v>667.9</v>
      </c>
      <c r="K30" s="558">
        <f t="shared" si="0"/>
        <v>1.0275384615384615</v>
      </c>
    </row>
    <row r="31" spans="1:11" ht="14.25">
      <c r="A31" s="555">
        <v>27</v>
      </c>
      <c r="B31" s="556" t="s">
        <v>1260</v>
      </c>
      <c r="C31" s="557">
        <v>503</v>
      </c>
      <c r="D31" s="564">
        <v>650</v>
      </c>
      <c r="E31" s="559">
        <v>281</v>
      </c>
      <c r="F31" s="567">
        <v>697.6</v>
      </c>
      <c r="G31" s="557">
        <v>179</v>
      </c>
      <c r="H31" s="564">
        <v>440.29999999999995</v>
      </c>
      <c r="I31" s="559">
        <v>144</v>
      </c>
      <c r="J31" s="567">
        <v>336.19999999999993</v>
      </c>
      <c r="K31" s="558">
        <f t="shared" si="0"/>
        <v>0.51723076923076916</v>
      </c>
    </row>
    <row r="32" spans="1:11" ht="14.25">
      <c r="A32" s="555">
        <v>28</v>
      </c>
      <c r="B32" s="556" t="s">
        <v>1231</v>
      </c>
      <c r="C32" s="557">
        <v>1326</v>
      </c>
      <c r="D32" s="564">
        <v>2121.6</v>
      </c>
      <c r="E32" s="557">
        <v>2778</v>
      </c>
      <c r="F32" s="564">
        <v>2387</v>
      </c>
      <c r="G32" s="557">
        <v>2755</v>
      </c>
      <c r="H32" s="564">
        <v>2269.11</v>
      </c>
      <c r="I32" s="557">
        <v>2755</v>
      </c>
      <c r="J32" s="564">
        <v>2269.11</v>
      </c>
      <c r="K32" s="558">
        <f t="shared" si="0"/>
        <v>1.0695277149321267</v>
      </c>
    </row>
    <row r="33" spans="1:11" ht="14.25">
      <c r="A33" s="555">
        <v>29</v>
      </c>
      <c r="B33" s="556" t="s">
        <v>1245</v>
      </c>
      <c r="C33" s="557">
        <v>280</v>
      </c>
      <c r="D33" s="564">
        <v>267</v>
      </c>
      <c r="E33" s="559">
        <v>274</v>
      </c>
      <c r="F33" s="567">
        <v>255.78</v>
      </c>
      <c r="G33" s="559">
        <v>274</v>
      </c>
      <c r="H33" s="567">
        <v>255.78</v>
      </c>
      <c r="I33" s="559">
        <v>274</v>
      </c>
      <c r="J33" s="567">
        <v>255.78</v>
      </c>
      <c r="K33" s="558">
        <f t="shared" si="0"/>
        <v>0.95797752808988768</v>
      </c>
    </row>
    <row r="34" spans="1:11" ht="14.25">
      <c r="A34" s="555">
        <v>30</v>
      </c>
      <c r="B34" s="556" t="s">
        <v>1269</v>
      </c>
      <c r="C34" s="557">
        <v>348</v>
      </c>
      <c r="D34" s="564">
        <v>391.18</v>
      </c>
      <c r="E34" s="559">
        <v>107</v>
      </c>
      <c r="F34" s="567">
        <v>161.25000000000003</v>
      </c>
      <c r="G34" s="557">
        <v>5</v>
      </c>
      <c r="H34" s="564">
        <v>4.3</v>
      </c>
      <c r="I34" s="559">
        <v>3</v>
      </c>
      <c r="J34" s="567">
        <v>2</v>
      </c>
      <c r="K34" s="558">
        <f t="shared" si="0"/>
        <v>5.1127358249399256E-3</v>
      </c>
    </row>
    <row r="35" spans="1:11" ht="14.25">
      <c r="A35" s="555">
        <v>31</v>
      </c>
      <c r="B35" s="556" t="s">
        <v>1254</v>
      </c>
      <c r="C35" s="557">
        <v>670</v>
      </c>
      <c r="D35" s="564">
        <v>971.5</v>
      </c>
      <c r="E35" s="557">
        <v>971</v>
      </c>
      <c r="F35" s="564">
        <v>1928.46</v>
      </c>
      <c r="G35" s="557">
        <v>857</v>
      </c>
      <c r="H35" s="564">
        <v>976.54</v>
      </c>
      <c r="I35" s="557">
        <v>637</v>
      </c>
      <c r="J35" s="564">
        <v>725.89</v>
      </c>
      <c r="K35" s="558">
        <f t="shared" si="0"/>
        <v>0.74718476582604221</v>
      </c>
    </row>
    <row r="36" spans="1:11" ht="14.25">
      <c r="A36" s="555">
        <v>32</v>
      </c>
      <c r="B36" s="556" t="s">
        <v>1257</v>
      </c>
      <c r="C36" s="557">
        <v>213</v>
      </c>
      <c r="D36" s="564">
        <v>226</v>
      </c>
      <c r="E36" s="559">
        <v>194</v>
      </c>
      <c r="F36" s="567">
        <v>173.23</v>
      </c>
      <c r="G36" s="557">
        <v>170</v>
      </c>
      <c r="H36" s="564">
        <v>224.03</v>
      </c>
      <c r="I36" s="559">
        <v>150</v>
      </c>
      <c r="J36" s="567">
        <v>135.93</v>
      </c>
      <c r="K36" s="558">
        <f t="shared" si="0"/>
        <v>0.60146017699115051</v>
      </c>
    </row>
    <row r="37" spans="1:11" ht="14.25">
      <c r="A37" s="555">
        <v>33</v>
      </c>
      <c r="B37" s="556" t="s">
        <v>1248</v>
      </c>
      <c r="C37" s="557">
        <v>1224</v>
      </c>
      <c r="D37" s="564">
        <v>1774.08</v>
      </c>
      <c r="E37" s="557">
        <v>1337</v>
      </c>
      <c r="F37" s="564">
        <v>2274</v>
      </c>
      <c r="G37" s="557">
        <v>1233</v>
      </c>
      <c r="H37" s="564">
        <v>1784.02</v>
      </c>
      <c r="I37" s="557">
        <v>1089</v>
      </c>
      <c r="J37" s="564">
        <v>1622.3100000000002</v>
      </c>
      <c r="K37" s="558">
        <f t="shared" ref="K37:K55" si="1">+J37/D37</f>
        <v>0.91445143398268414</v>
      </c>
    </row>
    <row r="38" spans="1:11" ht="14.25">
      <c r="A38" s="555">
        <v>34</v>
      </c>
      <c r="B38" s="556" t="s">
        <v>1240</v>
      </c>
      <c r="C38" s="557">
        <v>484</v>
      </c>
      <c r="D38" s="564">
        <v>703.21</v>
      </c>
      <c r="E38" s="557">
        <v>811</v>
      </c>
      <c r="F38" s="564">
        <v>1462</v>
      </c>
      <c r="G38" s="557">
        <v>643</v>
      </c>
      <c r="H38" s="564">
        <v>1029.75</v>
      </c>
      <c r="I38" s="557">
        <v>454</v>
      </c>
      <c r="J38" s="564">
        <v>718.2</v>
      </c>
      <c r="K38" s="558">
        <f t="shared" si="1"/>
        <v>1.0213165341789792</v>
      </c>
    </row>
    <row r="39" spans="1:11" ht="14.25">
      <c r="A39" s="555">
        <v>35</v>
      </c>
      <c r="B39" s="556" t="s">
        <v>1232</v>
      </c>
      <c r="C39" s="557">
        <v>1170</v>
      </c>
      <c r="D39" s="564">
        <v>1707.38</v>
      </c>
      <c r="E39" s="557">
        <v>1637</v>
      </c>
      <c r="F39" s="564">
        <v>3152.1</v>
      </c>
      <c r="G39" s="557">
        <v>1297</v>
      </c>
      <c r="H39" s="564">
        <v>2455.9</v>
      </c>
      <c r="I39" s="557">
        <v>1130</v>
      </c>
      <c r="J39" s="564">
        <v>1811</v>
      </c>
      <c r="K39" s="558">
        <f t="shared" si="1"/>
        <v>1.060689477444974</v>
      </c>
    </row>
    <row r="40" spans="1:11" ht="14.25">
      <c r="A40" s="555">
        <v>36</v>
      </c>
      <c r="B40" s="556" t="s">
        <v>1247</v>
      </c>
      <c r="C40" s="557">
        <v>314</v>
      </c>
      <c r="D40" s="564">
        <v>340.37</v>
      </c>
      <c r="E40" s="559">
        <v>279</v>
      </c>
      <c r="F40" s="567">
        <v>316.48</v>
      </c>
      <c r="G40" s="559">
        <v>279</v>
      </c>
      <c r="H40" s="567">
        <v>316.48</v>
      </c>
      <c r="I40" s="559">
        <v>279</v>
      </c>
      <c r="J40" s="567">
        <v>316.48</v>
      </c>
      <c r="K40" s="558">
        <f t="shared" si="1"/>
        <v>0.92981167552957078</v>
      </c>
    </row>
    <row r="41" spans="1:11" ht="14.25">
      <c r="A41" s="555">
        <v>37</v>
      </c>
      <c r="B41" s="556" t="s">
        <v>1239</v>
      </c>
      <c r="C41" s="557">
        <v>1870</v>
      </c>
      <c r="D41" s="564">
        <v>2711.5</v>
      </c>
      <c r="E41" s="557">
        <v>2195</v>
      </c>
      <c r="F41" s="564">
        <v>3218.5</v>
      </c>
      <c r="G41" s="557">
        <v>1997</v>
      </c>
      <c r="H41" s="564">
        <v>2976.15</v>
      </c>
      <c r="I41" s="557">
        <v>1825</v>
      </c>
      <c r="J41" s="564">
        <v>2774</v>
      </c>
      <c r="K41" s="558">
        <f t="shared" si="1"/>
        <v>1.0230499723400333</v>
      </c>
    </row>
    <row r="42" spans="1:11" ht="14.25">
      <c r="A42" s="555">
        <v>38</v>
      </c>
      <c r="B42" s="556" t="s">
        <v>1246</v>
      </c>
      <c r="C42" s="557">
        <v>716</v>
      </c>
      <c r="D42" s="564">
        <v>1038.2</v>
      </c>
      <c r="E42" s="557">
        <v>1098</v>
      </c>
      <c r="F42" s="564">
        <v>1378.0100000000002</v>
      </c>
      <c r="G42" s="557">
        <v>893</v>
      </c>
      <c r="H42" s="564">
        <v>1125.77</v>
      </c>
      <c r="I42" s="557">
        <v>792</v>
      </c>
      <c r="J42" s="564">
        <v>966.12</v>
      </c>
      <c r="K42" s="558">
        <f t="shared" si="1"/>
        <v>0.93057214409555</v>
      </c>
    </row>
    <row r="43" spans="1:11" ht="14.25">
      <c r="A43" s="555">
        <v>39</v>
      </c>
      <c r="B43" s="556" t="s">
        <v>1224</v>
      </c>
      <c r="C43" s="557">
        <v>380</v>
      </c>
      <c r="D43" s="564">
        <v>441.12</v>
      </c>
      <c r="E43" s="559">
        <v>439</v>
      </c>
      <c r="F43" s="567">
        <v>711.87</v>
      </c>
      <c r="G43" s="559">
        <v>439</v>
      </c>
      <c r="H43" s="567">
        <v>711.87</v>
      </c>
      <c r="I43" s="559">
        <v>439</v>
      </c>
      <c r="J43" s="567">
        <v>711.87</v>
      </c>
      <c r="K43" s="558">
        <f t="shared" si="1"/>
        <v>1.6137785636561479</v>
      </c>
    </row>
    <row r="44" spans="1:11" ht="14.25">
      <c r="A44" s="555">
        <v>40</v>
      </c>
      <c r="B44" s="556" t="s">
        <v>1222</v>
      </c>
      <c r="C44" s="557">
        <v>255</v>
      </c>
      <c r="D44" s="564">
        <v>369.03</v>
      </c>
      <c r="E44" s="557">
        <v>302</v>
      </c>
      <c r="F44" s="564">
        <v>907.5</v>
      </c>
      <c r="G44" s="557">
        <v>280</v>
      </c>
      <c r="H44" s="564">
        <v>754</v>
      </c>
      <c r="I44" s="557">
        <v>270</v>
      </c>
      <c r="J44" s="564">
        <v>720</v>
      </c>
      <c r="K44" s="558">
        <f t="shared" si="1"/>
        <v>1.9510608893585888</v>
      </c>
    </row>
    <row r="45" spans="1:11" ht="14.25">
      <c r="A45" s="555">
        <v>41</v>
      </c>
      <c r="B45" s="556" t="s">
        <v>1256</v>
      </c>
      <c r="C45" s="557">
        <v>434</v>
      </c>
      <c r="D45" s="564">
        <v>560</v>
      </c>
      <c r="E45" s="559">
        <v>374</v>
      </c>
      <c r="F45" s="567">
        <v>593.68999999999994</v>
      </c>
      <c r="G45" s="557">
        <v>302</v>
      </c>
      <c r="H45" s="564">
        <v>452.19999999999993</v>
      </c>
      <c r="I45" s="559">
        <v>271</v>
      </c>
      <c r="J45" s="567">
        <v>394.19999999999993</v>
      </c>
      <c r="K45" s="558">
        <f t="shared" si="1"/>
        <v>0.70392857142857135</v>
      </c>
    </row>
    <row r="46" spans="1:11" ht="14.25">
      <c r="A46" s="555">
        <v>42</v>
      </c>
      <c r="B46" s="556" t="s">
        <v>1241</v>
      </c>
      <c r="C46" s="557">
        <v>1015</v>
      </c>
      <c r="D46" s="564">
        <v>1624</v>
      </c>
      <c r="E46" s="557">
        <v>2061</v>
      </c>
      <c r="F46" s="564">
        <v>2038.4</v>
      </c>
      <c r="G46" s="557">
        <v>1862</v>
      </c>
      <c r="H46" s="564">
        <v>1703.4499999999998</v>
      </c>
      <c r="I46" s="557">
        <v>1833</v>
      </c>
      <c r="J46" s="564">
        <v>1654.7399999999998</v>
      </c>
      <c r="K46" s="558">
        <f t="shared" si="1"/>
        <v>1.0189285714285712</v>
      </c>
    </row>
    <row r="47" spans="1:11" ht="14.25">
      <c r="A47" s="555">
        <v>43</v>
      </c>
      <c r="B47" s="556" t="s">
        <v>1262</v>
      </c>
      <c r="C47" s="557">
        <v>314</v>
      </c>
      <c r="D47" s="564">
        <v>454.58</v>
      </c>
      <c r="E47" s="557">
        <v>178</v>
      </c>
      <c r="F47" s="564">
        <v>217</v>
      </c>
      <c r="G47" s="557">
        <v>108</v>
      </c>
      <c r="H47" s="564">
        <v>147.30000000000001</v>
      </c>
      <c r="I47" s="557">
        <v>104</v>
      </c>
      <c r="J47" s="564">
        <v>143.30000000000001</v>
      </c>
      <c r="K47" s="558">
        <f t="shared" si="1"/>
        <v>0.31523604206080341</v>
      </c>
    </row>
    <row r="48" spans="1:11" ht="14.25">
      <c r="A48" s="555">
        <v>44</v>
      </c>
      <c r="B48" s="556" t="s">
        <v>1242</v>
      </c>
      <c r="C48" s="557">
        <v>439</v>
      </c>
      <c r="D48" s="564">
        <v>702.4</v>
      </c>
      <c r="E48" s="557">
        <v>1280</v>
      </c>
      <c r="F48" s="564">
        <v>1191.49</v>
      </c>
      <c r="G48" s="557">
        <v>839</v>
      </c>
      <c r="H48" s="564">
        <v>763.81</v>
      </c>
      <c r="I48" s="557">
        <v>775</v>
      </c>
      <c r="J48" s="564">
        <v>713.85</v>
      </c>
      <c r="K48" s="558">
        <f t="shared" si="1"/>
        <v>1.0163012528473805</v>
      </c>
    </row>
    <row r="49" spans="1:11" ht="14.25">
      <c r="A49" s="555">
        <v>45</v>
      </c>
      <c r="B49" s="556" t="s">
        <v>1234</v>
      </c>
      <c r="C49" s="557">
        <v>809</v>
      </c>
      <c r="D49" s="564">
        <v>1145.25</v>
      </c>
      <c r="E49" s="557">
        <v>1062</v>
      </c>
      <c r="F49" s="564">
        <v>1525.55</v>
      </c>
      <c r="G49" s="557">
        <v>793</v>
      </c>
      <c r="H49" s="564">
        <v>1217.5999999999999</v>
      </c>
      <c r="I49" s="557">
        <v>782</v>
      </c>
      <c r="J49" s="564">
        <v>1202.5999999999999</v>
      </c>
      <c r="K49" s="558">
        <f t="shared" si="1"/>
        <v>1.050076402532198</v>
      </c>
    </row>
    <row r="50" spans="1:11" ht="14.25">
      <c r="A50" s="555">
        <v>46</v>
      </c>
      <c r="B50" s="556" t="s">
        <v>1243</v>
      </c>
      <c r="C50" s="557">
        <v>1178</v>
      </c>
      <c r="D50" s="564">
        <v>1707.38</v>
      </c>
      <c r="E50" s="557">
        <v>996</v>
      </c>
      <c r="F50" s="564">
        <v>1803.93</v>
      </c>
      <c r="G50" s="557">
        <v>1050</v>
      </c>
      <c r="H50" s="564">
        <v>1852.43</v>
      </c>
      <c r="I50" s="557">
        <v>968</v>
      </c>
      <c r="J50" s="564">
        <v>1722.7</v>
      </c>
      <c r="K50" s="558">
        <f t="shared" si="1"/>
        <v>1.0089728121449237</v>
      </c>
    </row>
    <row r="51" spans="1:11" ht="14.25">
      <c r="A51" s="555">
        <v>47</v>
      </c>
      <c r="B51" s="556" t="s">
        <v>1223</v>
      </c>
      <c r="C51" s="557">
        <v>139</v>
      </c>
      <c r="D51" s="564">
        <v>201.55</v>
      </c>
      <c r="E51" s="557">
        <v>301</v>
      </c>
      <c r="F51" s="564">
        <v>401</v>
      </c>
      <c r="G51" s="557">
        <v>296</v>
      </c>
      <c r="H51" s="564">
        <v>401</v>
      </c>
      <c r="I51" s="557">
        <v>270</v>
      </c>
      <c r="J51" s="564">
        <v>391</v>
      </c>
      <c r="K51" s="558">
        <f t="shared" si="1"/>
        <v>1.939965269163979</v>
      </c>
    </row>
    <row r="52" spans="1:11" ht="14.25">
      <c r="A52" s="555">
        <v>48</v>
      </c>
      <c r="B52" s="556" t="s">
        <v>1237</v>
      </c>
      <c r="C52" s="557">
        <v>716</v>
      </c>
      <c r="D52" s="564">
        <v>1038.2</v>
      </c>
      <c r="E52" s="557">
        <v>1074</v>
      </c>
      <c r="F52" s="564">
        <v>1235</v>
      </c>
      <c r="G52" s="557">
        <v>934</v>
      </c>
      <c r="H52" s="564">
        <v>1097.49</v>
      </c>
      <c r="I52" s="557">
        <v>923</v>
      </c>
      <c r="J52" s="564">
        <v>1073.49</v>
      </c>
      <c r="K52" s="558">
        <f t="shared" si="1"/>
        <v>1.033991523791177</v>
      </c>
    </row>
    <row r="53" spans="1:11" ht="14.25">
      <c r="A53" s="555">
        <v>49</v>
      </c>
      <c r="B53" s="556" t="s">
        <v>1253</v>
      </c>
      <c r="C53" s="557">
        <v>314</v>
      </c>
      <c r="D53" s="564">
        <v>373</v>
      </c>
      <c r="E53" s="559">
        <v>555</v>
      </c>
      <c r="F53" s="567">
        <v>284.83</v>
      </c>
      <c r="G53" s="559">
        <v>555</v>
      </c>
      <c r="H53" s="567">
        <v>284.83</v>
      </c>
      <c r="I53" s="559">
        <v>555</v>
      </c>
      <c r="J53" s="567">
        <v>284.83</v>
      </c>
      <c r="K53" s="558">
        <f t="shared" si="1"/>
        <v>0.76361930294906166</v>
      </c>
    </row>
    <row r="54" spans="1:11" ht="14.25">
      <c r="A54" s="555">
        <v>50</v>
      </c>
      <c r="B54" s="556" t="s">
        <v>1261</v>
      </c>
      <c r="C54" s="557">
        <v>241</v>
      </c>
      <c r="D54" s="564">
        <v>349.45</v>
      </c>
      <c r="E54" s="557">
        <v>250</v>
      </c>
      <c r="F54" s="564">
        <v>189.75</v>
      </c>
      <c r="G54" s="557">
        <v>240</v>
      </c>
      <c r="H54" s="564">
        <v>179.75</v>
      </c>
      <c r="I54" s="557">
        <v>223</v>
      </c>
      <c r="J54" s="564">
        <v>162.75</v>
      </c>
      <c r="K54" s="558">
        <f t="shared" si="1"/>
        <v>0.46573186435827729</v>
      </c>
    </row>
    <row r="55" spans="1:11" ht="14.25">
      <c r="A55" s="555">
        <v>51</v>
      </c>
      <c r="B55" s="556" t="s">
        <v>1251</v>
      </c>
      <c r="C55" s="557">
        <v>576</v>
      </c>
      <c r="D55" s="564">
        <v>837.38</v>
      </c>
      <c r="E55" s="557">
        <v>1010</v>
      </c>
      <c r="F55" s="564">
        <v>1040.97</v>
      </c>
      <c r="G55" s="557">
        <v>732</v>
      </c>
      <c r="H55" s="564">
        <v>761.5</v>
      </c>
      <c r="I55" s="557">
        <v>644</v>
      </c>
      <c r="J55" s="564">
        <v>673</v>
      </c>
      <c r="K55" s="558">
        <f t="shared" si="1"/>
        <v>0.80369724617258598</v>
      </c>
    </row>
    <row r="56" spans="1:11" ht="15.75" thickBot="1">
      <c r="A56" s="751" t="s">
        <v>1</v>
      </c>
      <c r="B56" s="752"/>
      <c r="C56" s="560">
        <f t="shared" ref="C56:J56" si="2">SUM(C5:C55)</f>
        <v>32000</v>
      </c>
      <c r="D56" s="565">
        <f t="shared" si="2"/>
        <v>44999.999999999993</v>
      </c>
      <c r="E56" s="560">
        <f t="shared" si="2"/>
        <v>44307</v>
      </c>
      <c r="F56" s="565">
        <f t="shared" si="2"/>
        <v>62623.387160000013</v>
      </c>
      <c r="G56" s="560">
        <f t="shared" si="2"/>
        <v>38851</v>
      </c>
      <c r="H56" s="565">
        <f t="shared" si="2"/>
        <v>51872.966919999992</v>
      </c>
      <c r="I56" s="560">
        <f t="shared" si="2"/>
        <v>35560</v>
      </c>
      <c r="J56" s="565">
        <f t="shared" si="2"/>
        <v>45285.203519999995</v>
      </c>
      <c r="K56" s="561">
        <f t="shared" ref="K56" si="3">+J56/D56</f>
        <v>1.006337856</v>
      </c>
    </row>
  </sheetData>
  <sortState ref="B5:K55">
    <sortCondition ref="B5:B55"/>
  </sortState>
  <mergeCells count="6">
    <mergeCell ref="A56:B56"/>
    <mergeCell ref="A1:K1"/>
    <mergeCell ref="C2:D2"/>
    <mergeCell ref="E2:F2"/>
    <mergeCell ref="G2:H2"/>
    <mergeCell ref="I2:J2"/>
  </mergeCells>
  <pageMargins left="0.7" right="0.7" top="0.5" bottom="0.5" header="0.3" footer="0.3"/>
  <pageSetup paperSize="9" scale="80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Normal="100" workbookViewId="0">
      <pane xSplit="2" ySplit="4" topLeftCell="C41" activePane="bottomRight" state="frozen"/>
      <selection pane="topRight" activeCell="C1" sqref="C1"/>
      <selection pane="bottomLeft" activeCell="A4" sqref="A4"/>
      <selection pane="bottomRight" activeCell="V12" sqref="V12"/>
    </sheetView>
  </sheetViews>
  <sheetFormatPr defaultRowHeight="12.75"/>
  <cols>
    <col min="1" max="1" width="4.7109375" style="390" customWidth="1"/>
    <col min="2" max="2" width="15.5703125" style="390" customWidth="1"/>
    <col min="3" max="3" width="9.140625" style="390"/>
    <col min="4" max="4" width="9.28515625" style="390" customWidth="1"/>
    <col min="5" max="5" width="9.140625" style="390"/>
    <col min="6" max="6" width="10" style="390" customWidth="1"/>
    <col min="7" max="7" width="6.140625" style="390" customWidth="1"/>
    <col min="8" max="8" width="7.7109375" style="390" bestFit="1" customWidth="1"/>
    <col min="9" max="9" width="5.140625" style="390" customWidth="1"/>
    <col min="10" max="10" width="5.7109375" style="390" customWidth="1"/>
    <col min="11" max="11" width="5.85546875" style="390" customWidth="1"/>
    <col min="12" max="12" width="7" style="390" customWidth="1"/>
    <col min="13" max="14" width="8" style="390" customWidth="1"/>
    <col min="15" max="15" width="8.7109375" style="390" customWidth="1"/>
    <col min="16" max="16" width="7.7109375" style="390" bestFit="1" customWidth="1"/>
    <col min="17" max="17" width="6.42578125" style="390" customWidth="1"/>
    <col min="18" max="18" width="6.28515625" style="390" customWidth="1"/>
    <col min="19" max="19" width="0.140625" style="390" customWidth="1"/>
    <col min="20" max="16384" width="9.140625" style="390"/>
  </cols>
  <sheetData>
    <row r="1" spans="1:19" ht="23.25" customHeight="1">
      <c r="A1" s="757" t="s">
        <v>1120</v>
      </c>
      <c r="B1" s="757"/>
      <c r="C1" s="757"/>
      <c r="D1" s="757"/>
      <c r="E1" s="757"/>
      <c r="F1" s="757"/>
      <c r="G1" s="757"/>
      <c r="H1" s="757"/>
      <c r="I1" s="757"/>
      <c r="J1" s="757"/>
      <c r="K1" s="757"/>
      <c r="L1" s="757"/>
      <c r="M1" s="757"/>
      <c r="N1" s="757"/>
      <c r="O1" s="757"/>
      <c r="P1" s="757"/>
      <c r="Q1" s="757"/>
      <c r="R1" s="757"/>
      <c r="S1" s="757"/>
    </row>
    <row r="2" spans="1:19" ht="23.25" customHeight="1">
      <c r="A2" s="403"/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591" t="s">
        <v>1124</v>
      </c>
      <c r="P2" s="591"/>
      <c r="Q2" s="403"/>
      <c r="R2" s="403"/>
      <c r="S2" s="403"/>
    </row>
    <row r="3" spans="1:19" ht="15" customHeight="1">
      <c r="A3" s="761" t="s">
        <v>1123</v>
      </c>
      <c r="B3" s="761" t="s">
        <v>477</v>
      </c>
      <c r="C3" s="758" t="s">
        <v>1118</v>
      </c>
      <c r="D3" s="758"/>
      <c r="E3" s="759" t="s">
        <v>1122</v>
      </c>
      <c r="F3" s="759"/>
      <c r="G3" s="759"/>
      <c r="H3" s="759"/>
      <c r="I3" s="759"/>
      <c r="J3" s="759"/>
      <c r="K3" s="759"/>
      <c r="L3" s="759"/>
      <c r="M3" s="760" t="s">
        <v>1121</v>
      </c>
      <c r="N3" s="760"/>
      <c r="O3" s="760"/>
      <c r="P3" s="760"/>
      <c r="Q3" s="760"/>
      <c r="R3" s="760"/>
      <c r="S3" s="760"/>
    </row>
    <row r="4" spans="1:19" ht="36">
      <c r="A4" s="761"/>
      <c r="B4" s="761"/>
      <c r="C4" s="398" t="s">
        <v>478</v>
      </c>
      <c r="D4" s="398" t="s">
        <v>479</v>
      </c>
      <c r="E4" s="399" t="s">
        <v>480</v>
      </c>
      <c r="F4" s="400" t="s">
        <v>481</v>
      </c>
      <c r="G4" s="399" t="s">
        <v>482</v>
      </c>
      <c r="H4" s="399" t="s">
        <v>483</v>
      </c>
      <c r="I4" s="399" t="s">
        <v>484</v>
      </c>
      <c r="J4" s="399" t="s">
        <v>471</v>
      </c>
      <c r="K4" s="399" t="s">
        <v>485</v>
      </c>
      <c r="L4" s="399" t="s">
        <v>486</v>
      </c>
      <c r="M4" s="401" t="s">
        <v>478</v>
      </c>
      <c r="N4" s="402" t="s">
        <v>487</v>
      </c>
      <c r="O4" s="402" t="s">
        <v>488</v>
      </c>
      <c r="P4" s="401" t="s">
        <v>489</v>
      </c>
      <c r="Q4" s="401" t="s">
        <v>490</v>
      </c>
      <c r="R4" s="401" t="s">
        <v>491</v>
      </c>
      <c r="S4" s="407"/>
    </row>
    <row r="5" spans="1:19">
      <c r="A5" s="404">
        <v>1</v>
      </c>
      <c r="B5" s="405" t="s">
        <v>492</v>
      </c>
      <c r="C5" s="406">
        <v>25</v>
      </c>
      <c r="D5" s="406">
        <v>750</v>
      </c>
      <c r="E5" s="406" t="s">
        <v>609</v>
      </c>
      <c r="F5" s="406" t="s">
        <v>799</v>
      </c>
      <c r="G5" s="406" t="s">
        <v>800</v>
      </c>
      <c r="H5" s="406" t="s">
        <v>801</v>
      </c>
      <c r="I5" s="406" t="s">
        <v>614</v>
      </c>
      <c r="J5" s="406" t="s">
        <v>580</v>
      </c>
      <c r="K5" s="406" t="s">
        <v>509</v>
      </c>
      <c r="L5" s="406" t="s">
        <v>802</v>
      </c>
      <c r="M5" s="406" t="s">
        <v>495</v>
      </c>
      <c r="N5" s="406" t="s">
        <v>803</v>
      </c>
      <c r="O5" s="406" t="s">
        <v>804</v>
      </c>
      <c r="P5" s="406" t="s">
        <v>805</v>
      </c>
      <c r="Q5" s="406" t="s">
        <v>806</v>
      </c>
      <c r="R5" s="406" t="s">
        <v>499</v>
      </c>
    </row>
    <row r="6" spans="1:19">
      <c r="A6" s="391">
        <v>2</v>
      </c>
      <c r="B6" s="392" t="s">
        <v>500</v>
      </c>
      <c r="C6" s="394">
        <v>21</v>
      </c>
      <c r="D6" s="394">
        <v>605</v>
      </c>
      <c r="E6" s="394" t="s">
        <v>585</v>
      </c>
      <c r="F6" s="394" t="s">
        <v>807</v>
      </c>
      <c r="G6" s="394" t="s">
        <v>808</v>
      </c>
      <c r="H6" s="394" t="s">
        <v>496</v>
      </c>
      <c r="I6" s="394" t="s">
        <v>1119</v>
      </c>
      <c r="J6" s="394" t="s">
        <v>807</v>
      </c>
      <c r="K6" s="394" t="s">
        <v>1119</v>
      </c>
      <c r="L6" s="394" t="s">
        <v>1119</v>
      </c>
      <c r="M6" s="394" t="s">
        <v>539</v>
      </c>
      <c r="N6" s="394" t="s">
        <v>809</v>
      </c>
      <c r="O6" s="394" t="s">
        <v>810</v>
      </c>
      <c r="P6" s="394" t="s">
        <v>643</v>
      </c>
      <c r="Q6" s="394" t="s">
        <v>811</v>
      </c>
      <c r="R6" s="394" t="s">
        <v>504</v>
      </c>
    </row>
    <row r="7" spans="1:19">
      <c r="A7" s="391">
        <v>3</v>
      </c>
      <c r="B7" s="392" t="s">
        <v>505</v>
      </c>
      <c r="C7" s="394">
        <v>25</v>
      </c>
      <c r="D7" s="394">
        <v>750</v>
      </c>
      <c r="E7" s="394" t="s">
        <v>573</v>
      </c>
      <c r="F7" s="394" t="s">
        <v>812</v>
      </c>
      <c r="G7" s="394" t="s">
        <v>813</v>
      </c>
      <c r="H7" s="394" t="s">
        <v>814</v>
      </c>
      <c r="I7" s="394" t="s">
        <v>815</v>
      </c>
      <c r="J7" s="394" t="s">
        <v>816</v>
      </c>
      <c r="K7" s="394" t="s">
        <v>710</v>
      </c>
      <c r="L7" s="394" t="s">
        <v>526</v>
      </c>
      <c r="M7" s="394" t="s">
        <v>817</v>
      </c>
      <c r="N7" s="394" t="s">
        <v>818</v>
      </c>
      <c r="O7" s="394" t="s">
        <v>819</v>
      </c>
      <c r="P7" s="394" t="s">
        <v>820</v>
      </c>
      <c r="Q7" s="394" t="s">
        <v>821</v>
      </c>
      <c r="R7" s="394" t="s">
        <v>504</v>
      </c>
    </row>
    <row r="8" spans="1:19">
      <c r="A8" s="391">
        <v>4</v>
      </c>
      <c r="B8" s="392" t="s">
        <v>517</v>
      </c>
      <c r="C8" s="394">
        <v>25</v>
      </c>
      <c r="D8" s="394">
        <v>650</v>
      </c>
      <c r="E8" s="394" t="s">
        <v>493</v>
      </c>
      <c r="F8" s="394" t="s">
        <v>511</v>
      </c>
      <c r="G8" s="394" t="s">
        <v>822</v>
      </c>
      <c r="H8" s="394" t="s">
        <v>524</v>
      </c>
      <c r="I8" s="394" t="s">
        <v>710</v>
      </c>
      <c r="J8" s="394" t="s">
        <v>553</v>
      </c>
      <c r="K8" s="394" t="s">
        <v>646</v>
      </c>
      <c r="L8" s="394" t="s">
        <v>522</v>
      </c>
      <c r="M8" s="394" t="s">
        <v>524</v>
      </c>
      <c r="N8" s="394" t="s">
        <v>823</v>
      </c>
      <c r="O8" s="394" t="s">
        <v>824</v>
      </c>
      <c r="P8" s="394" t="s">
        <v>825</v>
      </c>
      <c r="Q8" s="394" t="s">
        <v>649</v>
      </c>
      <c r="R8" s="394" t="s">
        <v>510</v>
      </c>
    </row>
    <row r="9" spans="1:19">
      <c r="A9" s="391">
        <v>5</v>
      </c>
      <c r="B9" s="392" t="s">
        <v>525</v>
      </c>
      <c r="C9" s="394">
        <v>24</v>
      </c>
      <c r="D9" s="394">
        <v>700</v>
      </c>
      <c r="E9" s="394" t="s">
        <v>526</v>
      </c>
      <c r="F9" s="394" t="s">
        <v>527</v>
      </c>
      <c r="G9" s="394" t="s">
        <v>528</v>
      </c>
      <c r="H9" s="394" t="s">
        <v>529</v>
      </c>
      <c r="I9" s="394" t="s">
        <v>530</v>
      </c>
      <c r="J9" s="394" t="s">
        <v>1119</v>
      </c>
      <c r="K9" s="394" t="s">
        <v>528</v>
      </c>
      <c r="L9" s="394" t="s">
        <v>516</v>
      </c>
      <c r="M9" s="394" t="s">
        <v>531</v>
      </c>
      <c r="N9" s="394" t="s">
        <v>532</v>
      </c>
      <c r="O9" s="394" t="s">
        <v>533</v>
      </c>
      <c r="P9" s="394" t="s">
        <v>534</v>
      </c>
      <c r="Q9" s="394" t="s">
        <v>535</v>
      </c>
      <c r="R9" s="394" t="s">
        <v>536</v>
      </c>
    </row>
    <row r="10" spans="1:19">
      <c r="A10" s="391">
        <v>6</v>
      </c>
      <c r="B10" s="392" t="s">
        <v>537</v>
      </c>
      <c r="C10" s="394">
        <v>26</v>
      </c>
      <c r="D10" s="394">
        <v>780</v>
      </c>
      <c r="E10" s="394" t="s">
        <v>573</v>
      </c>
      <c r="F10" s="394" t="s">
        <v>826</v>
      </c>
      <c r="G10" s="394" t="s">
        <v>827</v>
      </c>
      <c r="H10" s="394" t="s">
        <v>631</v>
      </c>
      <c r="I10" s="394" t="s">
        <v>828</v>
      </c>
      <c r="J10" s="394" t="s">
        <v>602</v>
      </c>
      <c r="K10" s="394" t="s">
        <v>829</v>
      </c>
      <c r="L10" s="394" t="s">
        <v>584</v>
      </c>
      <c r="M10" s="394" t="s">
        <v>587</v>
      </c>
      <c r="N10" s="394" t="s">
        <v>830</v>
      </c>
      <c r="O10" s="394" t="s">
        <v>831</v>
      </c>
      <c r="P10" s="394" t="s">
        <v>685</v>
      </c>
      <c r="Q10" s="394" t="s">
        <v>832</v>
      </c>
      <c r="R10" s="394" t="s">
        <v>833</v>
      </c>
    </row>
    <row r="11" spans="1:19">
      <c r="A11" s="391">
        <v>7</v>
      </c>
      <c r="B11" s="392" t="s">
        <v>543</v>
      </c>
      <c r="C11" s="394">
        <v>25</v>
      </c>
      <c r="D11" s="394">
        <v>625</v>
      </c>
      <c r="E11" s="394" t="s">
        <v>562</v>
      </c>
      <c r="F11" s="394" t="s">
        <v>834</v>
      </c>
      <c r="G11" s="394" t="s">
        <v>596</v>
      </c>
      <c r="H11" s="394" t="s">
        <v>495</v>
      </c>
      <c r="I11" s="394" t="s">
        <v>671</v>
      </c>
      <c r="J11" s="394" t="s">
        <v>548</v>
      </c>
      <c r="K11" s="394" t="s">
        <v>835</v>
      </c>
      <c r="L11" s="394" t="s">
        <v>627</v>
      </c>
      <c r="M11" s="394" t="s">
        <v>587</v>
      </c>
      <c r="N11" s="394" t="s">
        <v>836</v>
      </c>
      <c r="O11" s="394" t="s">
        <v>837</v>
      </c>
      <c r="P11" s="394" t="s">
        <v>838</v>
      </c>
      <c r="Q11" s="394" t="s">
        <v>839</v>
      </c>
      <c r="R11" s="394" t="s">
        <v>840</v>
      </c>
    </row>
    <row r="12" spans="1:19">
      <c r="A12" s="391">
        <v>8</v>
      </c>
      <c r="B12" s="392" t="s">
        <v>551</v>
      </c>
      <c r="C12" s="394">
        <v>25</v>
      </c>
      <c r="D12" s="394">
        <v>650</v>
      </c>
      <c r="E12" s="394" t="s">
        <v>841</v>
      </c>
      <c r="F12" s="394" t="s">
        <v>560</v>
      </c>
      <c r="G12" s="394" t="s">
        <v>559</v>
      </c>
      <c r="H12" s="394" t="s">
        <v>567</v>
      </c>
      <c r="I12" s="394" t="s">
        <v>842</v>
      </c>
      <c r="J12" s="394" t="s">
        <v>843</v>
      </c>
      <c r="K12" s="394" t="s">
        <v>728</v>
      </c>
      <c r="L12" s="394" t="s">
        <v>593</v>
      </c>
      <c r="M12" s="394" t="s">
        <v>598</v>
      </c>
      <c r="N12" s="394" t="s">
        <v>844</v>
      </c>
      <c r="O12" s="394" t="s">
        <v>845</v>
      </c>
      <c r="P12" s="394" t="s">
        <v>813</v>
      </c>
      <c r="Q12" s="394" t="s">
        <v>846</v>
      </c>
      <c r="R12" s="394" t="s">
        <v>557</v>
      </c>
    </row>
    <row r="13" spans="1:19">
      <c r="A13" s="391">
        <v>9</v>
      </c>
      <c r="B13" s="392" t="s">
        <v>561</v>
      </c>
      <c r="C13" s="394">
        <v>24</v>
      </c>
      <c r="D13" s="394">
        <v>705</v>
      </c>
      <c r="E13" s="394" t="s">
        <v>655</v>
      </c>
      <c r="F13" s="394" t="s">
        <v>847</v>
      </c>
      <c r="G13" s="394" t="s">
        <v>848</v>
      </c>
      <c r="H13" s="394" t="s">
        <v>642</v>
      </c>
      <c r="I13" s="394" t="s">
        <v>849</v>
      </c>
      <c r="J13" s="394" t="s">
        <v>850</v>
      </c>
      <c r="K13" s="394" t="s">
        <v>670</v>
      </c>
      <c r="L13" s="394" t="s">
        <v>506</v>
      </c>
      <c r="M13" s="394" t="s">
        <v>628</v>
      </c>
      <c r="N13" s="394" t="s">
        <v>851</v>
      </c>
      <c r="O13" s="394" t="s">
        <v>852</v>
      </c>
      <c r="P13" s="394" t="s">
        <v>853</v>
      </c>
      <c r="Q13" s="394" t="s">
        <v>854</v>
      </c>
      <c r="R13" s="394" t="s">
        <v>662</v>
      </c>
    </row>
    <row r="14" spans="1:19">
      <c r="A14" s="391">
        <v>10</v>
      </c>
      <c r="B14" s="392" t="s">
        <v>566</v>
      </c>
      <c r="C14" s="394">
        <v>25</v>
      </c>
      <c r="D14" s="394">
        <v>750</v>
      </c>
      <c r="E14" s="394" t="s">
        <v>493</v>
      </c>
      <c r="F14" s="394" t="s">
        <v>855</v>
      </c>
      <c r="G14" s="394" t="s">
        <v>856</v>
      </c>
      <c r="H14" s="394" t="s">
        <v>642</v>
      </c>
      <c r="I14" s="394" t="s">
        <v>503</v>
      </c>
      <c r="J14" s="394" t="s">
        <v>671</v>
      </c>
      <c r="K14" s="394" t="s">
        <v>857</v>
      </c>
      <c r="L14" s="394" t="s">
        <v>569</v>
      </c>
      <c r="M14" s="394" t="s">
        <v>738</v>
      </c>
      <c r="N14" s="394" t="s">
        <v>858</v>
      </c>
      <c r="O14" s="394" t="s">
        <v>859</v>
      </c>
      <c r="P14" s="394" t="s">
        <v>591</v>
      </c>
      <c r="Q14" s="394" t="s">
        <v>860</v>
      </c>
      <c r="R14" s="394" t="s">
        <v>568</v>
      </c>
    </row>
    <row r="15" spans="1:19">
      <c r="A15" s="391">
        <v>11</v>
      </c>
      <c r="B15" s="392" t="s">
        <v>572</v>
      </c>
      <c r="C15" s="394">
        <v>26</v>
      </c>
      <c r="D15" s="394">
        <v>750</v>
      </c>
      <c r="E15" s="394" t="s">
        <v>573</v>
      </c>
      <c r="F15" s="394" t="s">
        <v>861</v>
      </c>
      <c r="G15" s="394" t="s">
        <v>862</v>
      </c>
      <c r="H15" s="394" t="s">
        <v>655</v>
      </c>
      <c r="I15" s="394" t="s">
        <v>715</v>
      </c>
      <c r="J15" s="394" t="s">
        <v>575</v>
      </c>
      <c r="K15" s="394" t="s">
        <v>694</v>
      </c>
      <c r="L15" s="394" t="s">
        <v>562</v>
      </c>
      <c r="M15" s="394" t="s">
        <v>592</v>
      </c>
      <c r="N15" s="394" t="s">
        <v>863</v>
      </c>
      <c r="O15" s="394" t="s">
        <v>864</v>
      </c>
      <c r="P15" s="394" t="s">
        <v>865</v>
      </c>
      <c r="Q15" s="394" t="s">
        <v>866</v>
      </c>
      <c r="R15" s="394" t="s">
        <v>684</v>
      </c>
    </row>
    <row r="16" spans="1:19">
      <c r="A16" s="391">
        <v>12</v>
      </c>
      <c r="B16" s="392" t="s">
        <v>577</v>
      </c>
      <c r="C16" s="394">
        <v>23</v>
      </c>
      <c r="D16" s="394">
        <v>605</v>
      </c>
      <c r="E16" s="394" t="s">
        <v>538</v>
      </c>
      <c r="F16" s="394" t="s">
        <v>664</v>
      </c>
      <c r="G16" s="394" t="s">
        <v>545</v>
      </c>
      <c r="H16" s="394" t="s">
        <v>698</v>
      </c>
      <c r="I16" s="394" t="s">
        <v>594</v>
      </c>
      <c r="J16" s="394" t="s">
        <v>697</v>
      </c>
      <c r="K16" s="394" t="s">
        <v>626</v>
      </c>
      <c r="L16" s="394" t="s">
        <v>655</v>
      </c>
      <c r="M16" s="394" t="s">
        <v>867</v>
      </c>
      <c r="N16" s="394" t="s">
        <v>868</v>
      </c>
      <c r="O16" s="394" t="s">
        <v>869</v>
      </c>
      <c r="P16" s="394" t="s">
        <v>870</v>
      </c>
      <c r="Q16" s="394" t="s">
        <v>871</v>
      </c>
      <c r="R16" s="394" t="s">
        <v>581</v>
      </c>
    </row>
    <row r="17" spans="1:18">
      <c r="A17" s="391">
        <v>13</v>
      </c>
      <c r="B17" s="392" t="s">
        <v>582</v>
      </c>
      <c r="C17" s="394">
        <v>23</v>
      </c>
      <c r="D17" s="394">
        <v>630</v>
      </c>
      <c r="E17" s="394" t="s">
        <v>506</v>
      </c>
      <c r="F17" s="394" t="s">
        <v>872</v>
      </c>
      <c r="G17" s="394" t="s">
        <v>873</v>
      </c>
      <c r="H17" s="394" t="s">
        <v>874</v>
      </c>
      <c r="I17" s="394" t="s">
        <v>875</v>
      </c>
      <c r="J17" s="394" t="s">
        <v>585</v>
      </c>
      <c r="K17" s="394" t="s">
        <v>876</v>
      </c>
      <c r="L17" s="394" t="s">
        <v>587</v>
      </c>
      <c r="M17" s="394" t="s">
        <v>554</v>
      </c>
      <c r="N17" s="394" t="s">
        <v>877</v>
      </c>
      <c r="O17" s="394" t="s">
        <v>878</v>
      </c>
      <c r="P17" s="394" t="s">
        <v>879</v>
      </c>
      <c r="Q17" s="394" t="s">
        <v>880</v>
      </c>
      <c r="R17" s="394" t="s">
        <v>624</v>
      </c>
    </row>
    <row r="18" spans="1:18">
      <c r="A18" s="391">
        <v>14</v>
      </c>
      <c r="B18" s="392" t="s">
        <v>590</v>
      </c>
      <c r="C18" s="394">
        <v>25</v>
      </c>
      <c r="D18" s="394">
        <v>750</v>
      </c>
      <c r="E18" s="394" t="s">
        <v>655</v>
      </c>
      <c r="F18" s="394" t="s">
        <v>881</v>
      </c>
      <c r="G18" s="394" t="s">
        <v>664</v>
      </c>
      <c r="H18" s="394" t="s">
        <v>882</v>
      </c>
      <c r="I18" s="394" t="s">
        <v>645</v>
      </c>
      <c r="J18" s="394" t="s">
        <v>583</v>
      </c>
      <c r="K18" s="394" t="s">
        <v>547</v>
      </c>
      <c r="L18" s="394" t="s">
        <v>680</v>
      </c>
      <c r="M18" s="394" t="s">
        <v>527</v>
      </c>
      <c r="N18" s="394" t="s">
        <v>883</v>
      </c>
      <c r="O18" s="394" t="s">
        <v>884</v>
      </c>
      <c r="P18" s="394" t="s">
        <v>871</v>
      </c>
      <c r="Q18" s="394" t="s">
        <v>885</v>
      </c>
      <c r="R18" s="394" t="s">
        <v>516</v>
      </c>
    </row>
    <row r="19" spans="1:18">
      <c r="A19" s="391">
        <v>15</v>
      </c>
      <c r="B19" s="392" t="s">
        <v>595</v>
      </c>
      <c r="C19" s="394">
        <v>25</v>
      </c>
      <c r="D19" s="394">
        <v>750</v>
      </c>
      <c r="E19" s="394" t="s">
        <v>609</v>
      </c>
      <c r="F19" s="394" t="s">
        <v>886</v>
      </c>
      <c r="G19" s="394" t="s">
        <v>887</v>
      </c>
      <c r="H19" s="394" t="s">
        <v>593</v>
      </c>
      <c r="I19" s="394" t="s">
        <v>604</v>
      </c>
      <c r="J19" s="394" t="s">
        <v>888</v>
      </c>
      <c r="K19" s="394" t="s">
        <v>699</v>
      </c>
      <c r="L19" s="394" t="s">
        <v>597</v>
      </c>
      <c r="M19" s="394" t="s">
        <v>703</v>
      </c>
      <c r="N19" s="394" t="s">
        <v>889</v>
      </c>
      <c r="O19" s="394" t="s">
        <v>890</v>
      </c>
      <c r="P19" s="394" t="s">
        <v>891</v>
      </c>
      <c r="Q19" s="394" t="s">
        <v>892</v>
      </c>
      <c r="R19" s="394" t="s">
        <v>696</v>
      </c>
    </row>
    <row r="20" spans="1:18">
      <c r="A20" s="391">
        <v>16</v>
      </c>
      <c r="B20" s="392" t="s">
        <v>599</v>
      </c>
      <c r="C20" s="394">
        <v>27</v>
      </c>
      <c r="D20" s="394">
        <v>750</v>
      </c>
      <c r="E20" s="394" t="s">
        <v>506</v>
      </c>
      <c r="F20" s="394" t="s">
        <v>678</v>
      </c>
      <c r="G20" s="394" t="s">
        <v>893</v>
      </c>
      <c r="H20" s="394" t="s">
        <v>615</v>
      </c>
      <c r="I20" s="394" t="s">
        <v>894</v>
      </c>
      <c r="J20" s="394" t="s">
        <v>518</v>
      </c>
      <c r="K20" s="394" t="s">
        <v>895</v>
      </c>
      <c r="L20" s="394" t="s">
        <v>627</v>
      </c>
      <c r="M20" s="394" t="s">
        <v>698</v>
      </c>
      <c r="N20" s="394" t="s">
        <v>896</v>
      </c>
      <c r="O20" s="394" t="s">
        <v>897</v>
      </c>
      <c r="P20" s="394" t="s">
        <v>898</v>
      </c>
      <c r="Q20" s="394" t="s">
        <v>899</v>
      </c>
      <c r="R20" s="394" t="s">
        <v>638</v>
      </c>
    </row>
    <row r="21" spans="1:18">
      <c r="A21" s="391">
        <v>17</v>
      </c>
      <c r="B21" s="392" t="s">
        <v>603</v>
      </c>
      <c r="C21" s="394">
        <v>24</v>
      </c>
      <c r="D21" s="394">
        <v>600</v>
      </c>
      <c r="E21" s="394" t="s">
        <v>493</v>
      </c>
      <c r="F21" s="394" t="s">
        <v>900</v>
      </c>
      <c r="G21" s="394" t="s">
        <v>901</v>
      </c>
      <c r="H21" s="394" t="s">
        <v>521</v>
      </c>
      <c r="I21" s="394" t="s">
        <v>902</v>
      </c>
      <c r="J21" s="394" t="s">
        <v>732</v>
      </c>
      <c r="K21" s="394" t="s">
        <v>494</v>
      </c>
      <c r="L21" s="394" t="s">
        <v>512</v>
      </c>
      <c r="M21" s="394" t="s">
        <v>666</v>
      </c>
      <c r="N21" s="394" t="s">
        <v>903</v>
      </c>
      <c r="O21" s="394" t="s">
        <v>904</v>
      </c>
      <c r="P21" s="394" t="s">
        <v>822</v>
      </c>
      <c r="Q21" s="394" t="s">
        <v>905</v>
      </c>
      <c r="R21" s="394" t="s">
        <v>1119</v>
      </c>
    </row>
    <row r="22" spans="1:18">
      <c r="A22" s="391">
        <v>18</v>
      </c>
      <c r="B22" s="392" t="s">
        <v>607</v>
      </c>
      <c r="C22" s="394">
        <v>25</v>
      </c>
      <c r="D22" s="394">
        <v>750</v>
      </c>
      <c r="E22" s="394" t="s">
        <v>544</v>
      </c>
      <c r="F22" s="394" t="s">
        <v>906</v>
      </c>
      <c r="G22" s="394" t="s">
        <v>667</v>
      </c>
      <c r="H22" s="394" t="s">
        <v>876</v>
      </c>
      <c r="I22" s="394" t="s">
        <v>509</v>
      </c>
      <c r="J22" s="394" t="s">
        <v>1119</v>
      </c>
      <c r="K22" s="394" t="s">
        <v>650</v>
      </c>
      <c r="L22" s="394" t="s">
        <v>710</v>
      </c>
      <c r="M22" s="394" t="s">
        <v>586</v>
      </c>
      <c r="N22" s="394" t="s">
        <v>907</v>
      </c>
      <c r="O22" s="394" t="s">
        <v>908</v>
      </c>
      <c r="P22" s="394" t="s">
        <v>909</v>
      </c>
      <c r="Q22" s="394" t="s">
        <v>910</v>
      </c>
      <c r="R22" s="394" t="s">
        <v>556</v>
      </c>
    </row>
    <row r="23" spans="1:18">
      <c r="A23" s="391">
        <v>19</v>
      </c>
      <c r="B23" s="392" t="s">
        <v>613</v>
      </c>
      <c r="C23" s="394">
        <v>25</v>
      </c>
      <c r="D23" s="394">
        <v>750</v>
      </c>
      <c r="E23" s="394" t="s">
        <v>493</v>
      </c>
      <c r="F23" s="394" t="s">
        <v>911</v>
      </c>
      <c r="G23" s="394" t="s">
        <v>912</v>
      </c>
      <c r="H23" s="394" t="s">
        <v>657</v>
      </c>
      <c r="I23" s="394" t="s">
        <v>619</v>
      </c>
      <c r="J23" s="394" t="s">
        <v>693</v>
      </c>
      <c r="K23" s="394" t="s">
        <v>913</v>
      </c>
      <c r="L23" s="394" t="s">
        <v>510</v>
      </c>
      <c r="M23" s="394" t="s">
        <v>586</v>
      </c>
      <c r="N23" s="394" t="s">
        <v>914</v>
      </c>
      <c r="O23" s="394" t="s">
        <v>915</v>
      </c>
      <c r="P23" s="394" t="s">
        <v>916</v>
      </c>
      <c r="Q23" s="394" t="s">
        <v>917</v>
      </c>
      <c r="R23" s="394" t="s">
        <v>918</v>
      </c>
    </row>
    <row r="24" spans="1:18">
      <c r="A24" s="391">
        <v>20</v>
      </c>
      <c r="B24" s="392" t="s">
        <v>620</v>
      </c>
      <c r="C24" s="394">
        <v>25</v>
      </c>
      <c r="D24" s="394">
        <v>750</v>
      </c>
      <c r="E24" s="394" t="s">
        <v>493</v>
      </c>
      <c r="F24" s="394" t="s">
        <v>919</v>
      </c>
      <c r="G24" s="394" t="s">
        <v>549</v>
      </c>
      <c r="H24" s="394" t="s">
        <v>702</v>
      </c>
      <c r="I24" s="394" t="s">
        <v>497</v>
      </c>
      <c r="J24" s="394" t="s">
        <v>920</v>
      </c>
      <c r="K24" s="394" t="s">
        <v>715</v>
      </c>
      <c r="L24" s="394" t="s">
        <v>516</v>
      </c>
      <c r="M24" s="394" t="s">
        <v>625</v>
      </c>
      <c r="N24" s="394" t="s">
        <v>921</v>
      </c>
      <c r="O24" s="394" t="s">
        <v>922</v>
      </c>
      <c r="P24" s="394" t="s">
        <v>923</v>
      </c>
      <c r="Q24" s="394" t="s">
        <v>924</v>
      </c>
      <c r="R24" s="394" t="s">
        <v>841</v>
      </c>
    </row>
    <row r="25" spans="1:18">
      <c r="A25" s="391">
        <v>21</v>
      </c>
      <c r="B25" s="392" t="s">
        <v>622</v>
      </c>
      <c r="C25" s="394">
        <v>21</v>
      </c>
      <c r="D25" s="394">
        <v>630</v>
      </c>
      <c r="E25" s="394" t="s">
        <v>583</v>
      </c>
      <c r="F25" s="394" t="s">
        <v>925</v>
      </c>
      <c r="G25" s="394" t="s">
        <v>926</v>
      </c>
      <c r="H25" s="394" t="s">
        <v>848</v>
      </c>
      <c r="I25" s="394" t="s">
        <v>645</v>
      </c>
      <c r="J25" s="394" t="s">
        <v>562</v>
      </c>
      <c r="K25" s="394" t="s">
        <v>927</v>
      </c>
      <c r="L25" s="394" t="s">
        <v>815</v>
      </c>
      <c r="M25" s="394" t="s">
        <v>723</v>
      </c>
      <c r="N25" s="394" t="s">
        <v>674</v>
      </c>
      <c r="O25" s="394" t="s">
        <v>928</v>
      </c>
      <c r="P25" s="394" t="s">
        <v>929</v>
      </c>
      <c r="Q25" s="394" t="s">
        <v>930</v>
      </c>
      <c r="R25" s="394" t="s">
        <v>531</v>
      </c>
    </row>
    <row r="26" spans="1:18">
      <c r="A26" s="391">
        <v>22</v>
      </c>
      <c r="B26" s="392" t="s">
        <v>630</v>
      </c>
      <c r="C26" s="394">
        <v>27</v>
      </c>
      <c r="D26" s="394">
        <v>720</v>
      </c>
      <c r="E26" s="394" t="s">
        <v>530</v>
      </c>
      <c r="F26" s="394" t="s">
        <v>931</v>
      </c>
      <c r="G26" s="394" t="s">
        <v>736</v>
      </c>
      <c r="H26" s="394" t="s">
        <v>601</v>
      </c>
      <c r="I26" s="394" t="s">
        <v>731</v>
      </c>
      <c r="J26" s="394" t="s">
        <v>932</v>
      </c>
      <c r="K26" s="394" t="s">
        <v>652</v>
      </c>
      <c r="L26" s="394" t="s">
        <v>623</v>
      </c>
      <c r="M26" s="394" t="s">
        <v>556</v>
      </c>
      <c r="N26" s="394" t="s">
        <v>933</v>
      </c>
      <c r="O26" s="394" t="s">
        <v>934</v>
      </c>
      <c r="P26" s="394" t="s">
        <v>935</v>
      </c>
      <c r="Q26" s="394" t="s">
        <v>936</v>
      </c>
      <c r="R26" s="394" t="s">
        <v>496</v>
      </c>
    </row>
    <row r="27" spans="1:18">
      <c r="A27" s="391">
        <v>23</v>
      </c>
      <c r="B27" s="392" t="s">
        <v>633</v>
      </c>
      <c r="C27" s="394">
        <v>25</v>
      </c>
      <c r="D27" s="394">
        <v>750</v>
      </c>
      <c r="E27" s="394" t="s">
        <v>544</v>
      </c>
      <c r="F27" s="394" t="s">
        <v>937</v>
      </c>
      <c r="G27" s="394" t="s">
        <v>814</v>
      </c>
      <c r="H27" s="394" t="s">
        <v>691</v>
      </c>
      <c r="I27" s="394" t="s">
        <v>723</v>
      </c>
      <c r="J27" s="394" t="s">
        <v>523</v>
      </c>
      <c r="K27" s="394" t="s">
        <v>835</v>
      </c>
      <c r="L27" s="394" t="s">
        <v>719</v>
      </c>
      <c r="M27" s="394" t="s">
        <v>661</v>
      </c>
      <c r="N27" s="394" t="s">
        <v>938</v>
      </c>
      <c r="O27" s="394" t="s">
        <v>939</v>
      </c>
      <c r="P27" s="394" t="s">
        <v>940</v>
      </c>
      <c r="Q27" s="394" t="s">
        <v>687</v>
      </c>
      <c r="R27" s="394" t="s">
        <v>867</v>
      </c>
    </row>
    <row r="28" spans="1:18">
      <c r="A28" s="391">
        <v>24</v>
      </c>
      <c r="B28" s="392" t="s">
        <v>636</v>
      </c>
      <c r="C28" s="394">
        <v>25</v>
      </c>
      <c r="D28" s="394">
        <v>750</v>
      </c>
      <c r="E28" s="394" t="s">
        <v>493</v>
      </c>
      <c r="F28" s="394" t="s">
        <v>799</v>
      </c>
      <c r="G28" s="394" t="s">
        <v>608</v>
      </c>
      <c r="H28" s="394" t="s">
        <v>941</v>
      </c>
      <c r="I28" s="394" t="s">
        <v>593</v>
      </c>
      <c r="J28" s="394" t="s">
        <v>942</v>
      </c>
      <c r="K28" s="394" t="s">
        <v>943</v>
      </c>
      <c r="L28" s="394" t="s">
        <v>697</v>
      </c>
      <c r="M28" s="394" t="s">
        <v>703</v>
      </c>
      <c r="N28" s="394" t="s">
        <v>944</v>
      </c>
      <c r="O28" s="394" t="s">
        <v>945</v>
      </c>
      <c r="P28" s="394" t="s">
        <v>873</v>
      </c>
      <c r="Q28" s="394" t="s">
        <v>558</v>
      </c>
      <c r="R28" s="394" t="s">
        <v>946</v>
      </c>
    </row>
    <row r="29" spans="1:18">
      <c r="A29" s="391">
        <v>25</v>
      </c>
      <c r="B29" s="392" t="s">
        <v>639</v>
      </c>
      <c r="C29" s="394">
        <v>22</v>
      </c>
      <c r="D29" s="394">
        <v>615</v>
      </c>
      <c r="E29" s="394" t="s">
        <v>506</v>
      </c>
      <c r="F29" s="394" t="s">
        <v>947</v>
      </c>
      <c r="G29" s="394" t="s">
        <v>948</v>
      </c>
      <c r="H29" s="394" t="s">
        <v>660</v>
      </c>
      <c r="I29" s="394" t="s">
        <v>625</v>
      </c>
      <c r="J29" s="394" t="s">
        <v>575</v>
      </c>
      <c r="K29" s="394" t="s">
        <v>949</v>
      </c>
      <c r="L29" s="394" t="s">
        <v>950</v>
      </c>
      <c r="M29" s="394" t="s">
        <v>612</v>
      </c>
      <c r="N29" s="394" t="s">
        <v>951</v>
      </c>
      <c r="O29" s="394" t="s">
        <v>952</v>
      </c>
      <c r="P29" s="394" t="s">
        <v>643</v>
      </c>
      <c r="Q29" s="394" t="s">
        <v>953</v>
      </c>
      <c r="R29" s="394" t="s">
        <v>954</v>
      </c>
    </row>
    <row r="30" spans="1:18">
      <c r="A30" s="391">
        <v>26</v>
      </c>
      <c r="B30" s="392" t="s">
        <v>644</v>
      </c>
      <c r="C30" s="394">
        <v>25</v>
      </c>
      <c r="D30" s="394">
        <v>750</v>
      </c>
      <c r="E30" s="394" t="s">
        <v>506</v>
      </c>
      <c r="F30" s="394" t="s">
        <v>955</v>
      </c>
      <c r="G30" s="394" t="s">
        <v>956</v>
      </c>
      <c r="H30" s="394" t="s">
        <v>721</v>
      </c>
      <c r="I30" s="394" t="s">
        <v>957</v>
      </c>
      <c r="J30" s="394" t="s">
        <v>697</v>
      </c>
      <c r="K30" s="394" t="s">
        <v>958</v>
      </c>
      <c r="L30" s="394" t="s">
        <v>583</v>
      </c>
      <c r="M30" s="394" t="s">
        <v>571</v>
      </c>
      <c r="N30" s="394" t="s">
        <v>959</v>
      </c>
      <c r="O30" s="394" t="s">
        <v>960</v>
      </c>
      <c r="P30" s="394" t="s">
        <v>656</v>
      </c>
      <c r="Q30" s="394" t="s">
        <v>735</v>
      </c>
      <c r="R30" s="394" t="s">
        <v>550</v>
      </c>
    </row>
    <row r="31" spans="1:18">
      <c r="A31" s="391">
        <v>27</v>
      </c>
      <c r="B31" s="392" t="s">
        <v>647</v>
      </c>
      <c r="C31" s="394">
        <v>30</v>
      </c>
      <c r="D31" s="394">
        <v>750</v>
      </c>
      <c r="E31" s="394" t="s">
        <v>841</v>
      </c>
      <c r="F31" s="394" t="s">
        <v>961</v>
      </c>
      <c r="G31" s="394" t="s">
        <v>962</v>
      </c>
      <c r="H31" s="394" t="s">
        <v>963</v>
      </c>
      <c r="I31" s="394" t="s">
        <v>661</v>
      </c>
      <c r="J31" s="394" t="s">
        <v>648</v>
      </c>
      <c r="K31" s="394" t="s">
        <v>964</v>
      </c>
      <c r="L31" s="394" t="s">
        <v>569</v>
      </c>
      <c r="M31" s="394" t="s">
        <v>840</v>
      </c>
      <c r="N31" s="394" t="s">
        <v>965</v>
      </c>
      <c r="O31" s="394" t="s">
        <v>966</v>
      </c>
      <c r="P31" s="394" t="s">
        <v>967</v>
      </c>
      <c r="Q31" s="394" t="s">
        <v>968</v>
      </c>
      <c r="R31" s="394" t="s">
        <v>495</v>
      </c>
    </row>
    <row r="32" spans="1:18">
      <c r="A32" s="391">
        <v>28</v>
      </c>
      <c r="B32" s="392" t="s">
        <v>651</v>
      </c>
      <c r="C32" s="394">
        <v>24</v>
      </c>
      <c r="D32" s="394">
        <v>720</v>
      </c>
      <c r="E32" s="394" t="s">
        <v>562</v>
      </c>
      <c r="F32" s="394" t="s">
        <v>969</v>
      </c>
      <c r="G32" s="394" t="s">
        <v>857</v>
      </c>
      <c r="H32" s="394" t="s">
        <v>970</v>
      </c>
      <c r="I32" s="394" t="s">
        <v>971</v>
      </c>
      <c r="J32" s="394" t="s">
        <v>698</v>
      </c>
      <c r="K32" s="394" t="s">
        <v>972</v>
      </c>
      <c r="L32" s="394" t="s">
        <v>529</v>
      </c>
      <c r="M32" s="394" t="s">
        <v>973</v>
      </c>
      <c r="N32" s="394" t="s">
        <v>974</v>
      </c>
      <c r="O32" s="394" t="s">
        <v>975</v>
      </c>
      <c r="P32" s="394" t="s">
        <v>976</v>
      </c>
      <c r="Q32" s="394" t="s">
        <v>555</v>
      </c>
      <c r="R32" s="394" t="s">
        <v>1119</v>
      </c>
    </row>
    <row r="33" spans="1:18">
      <c r="A33" s="391">
        <v>29</v>
      </c>
      <c r="B33" s="392" t="s">
        <v>654</v>
      </c>
      <c r="C33" s="394">
        <v>25</v>
      </c>
      <c r="D33" s="394">
        <v>750</v>
      </c>
      <c r="E33" s="394" t="s">
        <v>581</v>
      </c>
      <c r="F33" s="394" t="s">
        <v>977</v>
      </c>
      <c r="G33" s="394" t="s">
        <v>549</v>
      </c>
      <c r="H33" s="394" t="s">
        <v>563</v>
      </c>
      <c r="I33" s="394" t="s">
        <v>699</v>
      </c>
      <c r="J33" s="394" t="s">
        <v>733</v>
      </c>
      <c r="K33" s="394" t="s">
        <v>941</v>
      </c>
      <c r="L33" s="394" t="s">
        <v>527</v>
      </c>
      <c r="M33" s="394" t="s">
        <v>662</v>
      </c>
      <c r="N33" s="394" t="s">
        <v>978</v>
      </c>
      <c r="O33" s="394" t="s">
        <v>979</v>
      </c>
      <c r="P33" s="394" t="s">
        <v>980</v>
      </c>
      <c r="Q33" s="394" t="s">
        <v>981</v>
      </c>
      <c r="R33" s="394" t="s">
        <v>580</v>
      </c>
    </row>
    <row r="34" spans="1:18">
      <c r="A34" s="391">
        <v>30</v>
      </c>
      <c r="B34" s="392" t="s">
        <v>659</v>
      </c>
      <c r="C34" s="394">
        <v>25</v>
      </c>
      <c r="D34" s="394">
        <v>750</v>
      </c>
      <c r="E34" s="394" t="s">
        <v>583</v>
      </c>
      <c r="F34" s="394" t="s">
        <v>982</v>
      </c>
      <c r="G34" s="394" t="s">
        <v>508</v>
      </c>
      <c r="H34" s="394" t="s">
        <v>579</v>
      </c>
      <c r="I34" s="394" t="s">
        <v>661</v>
      </c>
      <c r="J34" s="394" t="s">
        <v>983</v>
      </c>
      <c r="K34" s="394" t="s">
        <v>984</v>
      </c>
      <c r="L34" s="394" t="s">
        <v>504</v>
      </c>
      <c r="M34" s="394" t="s">
        <v>498</v>
      </c>
      <c r="N34" s="394" t="s">
        <v>985</v>
      </c>
      <c r="O34" s="394" t="s">
        <v>986</v>
      </c>
      <c r="P34" s="394" t="s">
        <v>987</v>
      </c>
      <c r="Q34" s="394" t="s">
        <v>988</v>
      </c>
      <c r="R34" s="394" t="s">
        <v>841</v>
      </c>
    </row>
    <row r="35" spans="1:18">
      <c r="A35" s="391">
        <v>31</v>
      </c>
      <c r="B35" s="392" t="s">
        <v>663</v>
      </c>
      <c r="C35" s="394">
        <v>25</v>
      </c>
      <c r="D35" s="394">
        <v>750</v>
      </c>
      <c r="E35" s="394" t="s">
        <v>530</v>
      </c>
      <c r="F35" s="394" t="s">
        <v>989</v>
      </c>
      <c r="G35" s="394" t="s">
        <v>675</v>
      </c>
      <c r="H35" s="394" t="s">
        <v>941</v>
      </c>
      <c r="I35" s="394" t="s">
        <v>990</v>
      </c>
      <c r="J35" s="394" t="s">
        <v>833</v>
      </c>
      <c r="K35" s="394" t="s">
        <v>600</v>
      </c>
      <c r="L35" s="394" t="s">
        <v>638</v>
      </c>
      <c r="M35" s="394" t="s">
        <v>523</v>
      </c>
      <c r="N35" s="394" t="s">
        <v>991</v>
      </c>
      <c r="O35" s="394" t="s">
        <v>992</v>
      </c>
      <c r="P35" s="394" t="s">
        <v>718</v>
      </c>
      <c r="Q35" s="394" t="s">
        <v>993</v>
      </c>
      <c r="R35" s="394" t="s">
        <v>681</v>
      </c>
    </row>
    <row r="36" spans="1:18">
      <c r="A36" s="391">
        <v>32</v>
      </c>
      <c r="B36" s="392" t="s">
        <v>668</v>
      </c>
      <c r="C36" s="394">
        <v>27</v>
      </c>
      <c r="D36" s="394">
        <v>810</v>
      </c>
      <c r="E36" s="394" t="s">
        <v>655</v>
      </c>
      <c r="F36" s="394" t="s">
        <v>994</v>
      </c>
      <c r="G36" s="394" t="s">
        <v>994</v>
      </c>
      <c r="H36" s="394" t="s">
        <v>1119</v>
      </c>
      <c r="I36" s="394" t="s">
        <v>510</v>
      </c>
      <c r="J36" s="394" t="s">
        <v>545</v>
      </c>
      <c r="K36" s="394" t="s">
        <v>610</v>
      </c>
      <c r="L36" s="394" t="s">
        <v>655</v>
      </c>
      <c r="M36" s="394" t="s">
        <v>513</v>
      </c>
      <c r="N36" s="394" t="s">
        <v>995</v>
      </c>
      <c r="O36" s="394" t="s">
        <v>996</v>
      </c>
      <c r="P36" s="394" t="s">
        <v>997</v>
      </c>
      <c r="Q36" s="394" t="s">
        <v>515</v>
      </c>
      <c r="R36" s="394" t="s">
        <v>579</v>
      </c>
    </row>
    <row r="37" spans="1:18">
      <c r="A37" s="391">
        <v>33</v>
      </c>
      <c r="B37" s="392" t="s">
        <v>669</v>
      </c>
      <c r="C37" s="394">
        <v>30</v>
      </c>
      <c r="D37" s="394">
        <v>750</v>
      </c>
      <c r="E37" s="394" t="s">
        <v>519</v>
      </c>
      <c r="F37" s="394" t="s">
        <v>998</v>
      </c>
      <c r="G37" s="394" t="s">
        <v>605</v>
      </c>
      <c r="H37" s="394" t="s">
        <v>553</v>
      </c>
      <c r="I37" s="394" t="s">
        <v>999</v>
      </c>
      <c r="J37" s="394" t="s">
        <v>526</v>
      </c>
      <c r="K37" s="394" t="s">
        <v>673</v>
      </c>
      <c r="L37" s="394" t="s">
        <v>544</v>
      </c>
      <c r="M37" s="394" t="s">
        <v>1000</v>
      </c>
      <c r="N37" s="394" t="s">
        <v>1001</v>
      </c>
      <c r="O37" s="394" t="s">
        <v>1002</v>
      </c>
      <c r="P37" s="394" t="s">
        <v>1003</v>
      </c>
      <c r="Q37" s="394" t="s">
        <v>1004</v>
      </c>
      <c r="R37" s="394" t="s">
        <v>1005</v>
      </c>
    </row>
    <row r="38" spans="1:18">
      <c r="A38" s="391">
        <v>34</v>
      </c>
      <c r="B38" s="393" t="s">
        <v>672</v>
      </c>
      <c r="C38" s="394">
        <v>26</v>
      </c>
      <c r="D38" s="394">
        <v>780</v>
      </c>
      <c r="E38" s="394" t="s">
        <v>802</v>
      </c>
      <c r="F38" s="394" t="s">
        <v>1006</v>
      </c>
      <c r="G38" s="394" t="s">
        <v>726</v>
      </c>
      <c r="H38" s="394" t="s">
        <v>1007</v>
      </c>
      <c r="I38" s="394" t="s">
        <v>1008</v>
      </c>
      <c r="J38" s="394" t="s">
        <v>710</v>
      </c>
      <c r="K38" s="394" t="s">
        <v>1009</v>
      </c>
      <c r="L38" s="394" t="s">
        <v>542</v>
      </c>
      <c r="M38" s="394" t="s">
        <v>1010</v>
      </c>
      <c r="N38" s="394" t="s">
        <v>1011</v>
      </c>
      <c r="O38" s="394" t="s">
        <v>1012</v>
      </c>
      <c r="P38" s="394" t="s">
        <v>1013</v>
      </c>
      <c r="Q38" s="394" t="s">
        <v>1014</v>
      </c>
      <c r="R38" s="394" t="s">
        <v>1015</v>
      </c>
    </row>
    <row r="39" spans="1:18">
      <c r="A39" s="391">
        <v>35</v>
      </c>
      <c r="B39" s="393" t="s">
        <v>676</v>
      </c>
      <c r="C39" s="394">
        <v>25</v>
      </c>
      <c r="D39" s="394">
        <v>625</v>
      </c>
      <c r="E39" s="394" t="s">
        <v>506</v>
      </c>
      <c r="F39" s="394" t="s">
        <v>1016</v>
      </c>
      <c r="G39" s="394" t="s">
        <v>502</v>
      </c>
      <c r="H39" s="394" t="s">
        <v>950</v>
      </c>
      <c r="I39" s="394" t="s">
        <v>616</v>
      </c>
      <c r="J39" s="394" t="s">
        <v>519</v>
      </c>
      <c r="K39" s="394" t="s">
        <v>724</v>
      </c>
      <c r="L39" s="394" t="s">
        <v>635</v>
      </c>
      <c r="M39" s="394" t="s">
        <v>499</v>
      </c>
      <c r="N39" s="394" t="s">
        <v>541</v>
      </c>
      <c r="O39" s="394" t="s">
        <v>1017</v>
      </c>
      <c r="P39" s="394" t="s">
        <v>1018</v>
      </c>
      <c r="Q39" s="394" t="s">
        <v>1019</v>
      </c>
      <c r="R39" s="394" t="s">
        <v>621</v>
      </c>
    </row>
    <row r="40" spans="1:18">
      <c r="A40" s="391">
        <v>36</v>
      </c>
      <c r="B40" s="393" t="s">
        <v>679</v>
      </c>
      <c r="C40" s="394">
        <v>25</v>
      </c>
      <c r="D40" s="394">
        <v>750</v>
      </c>
      <c r="E40" s="394" t="s">
        <v>493</v>
      </c>
      <c r="F40" s="394" t="s">
        <v>1020</v>
      </c>
      <c r="G40" s="394" t="s">
        <v>1021</v>
      </c>
      <c r="H40" s="394" t="s">
        <v>634</v>
      </c>
      <c r="I40" s="394" t="s">
        <v>927</v>
      </c>
      <c r="J40" s="394" t="s">
        <v>578</v>
      </c>
      <c r="K40" s="394" t="s">
        <v>954</v>
      </c>
      <c r="L40" s="394" t="s">
        <v>510</v>
      </c>
      <c r="M40" s="394" t="s">
        <v>828</v>
      </c>
      <c r="N40" s="394" t="s">
        <v>1022</v>
      </c>
      <c r="O40" s="394" t="s">
        <v>1023</v>
      </c>
      <c r="P40" s="394" t="s">
        <v>1024</v>
      </c>
      <c r="Q40" s="394" t="s">
        <v>1025</v>
      </c>
      <c r="R40" s="394" t="s">
        <v>531</v>
      </c>
    </row>
    <row r="41" spans="1:18">
      <c r="A41" s="391">
        <v>37</v>
      </c>
      <c r="B41" s="393" t="s">
        <v>682</v>
      </c>
      <c r="C41" s="394">
        <v>20</v>
      </c>
      <c r="D41" s="394">
        <v>600</v>
      </c>
      <c r="E41" s="394" t="s">
        <v>504</v>
      </c>
      <c r="F41" s="394" t="s">
        <v>1026</v>
      </c>
      <c r="G41" s="394" t="s">
        <v>1027</v>
      </c>
      <c r="H41" s="394" t="s">
        <v>512</v>
      </c>
      <c r="I41" s="394" t="s">
        <v>1008</v>
      </c>
      <c r="J41" s="394" t="s">
        <v>523</v>
      </c>
      <c r="K41" s="394" t="s">
        <v>943</v>
      </c>
      <c r="L41" s="394" t="s">
        <v>501</v>
      </c>
      <c r="M41" s="394" t="s">
        <v>1028</v>
      </c>
      <c r="N41" s="394" t="s">
        <v>1029</v>
      </c>
      <c r="O41" s="394" t="s">
        <v>1030</v>
      </c>
      <c r="P41" s="394" t="s">
        <v>508</v>
      </c>
      <c r="Q41" s="394" t="s">
        <v>1031</v>
      </c>
      <c r="R41" s="394" t="s">
        <v>1032</v>
      </c>
    </row>
    <row r="42" spans="1:18">
      <c r="A42" s="391">
        <v>38</v>
      </c>
      <c r="B42" s="393" t="s">
        <v>686</v>
      </c>
      <c r="C42" s="394">
        <v>21</v>
      </c>
      <c r="D42" s="394">
        <v>630</v>
      </c>
      <c r="E42" s="394" t="s">
        <v>569</v>
      </c>
      <c r="F42" s="394" t="s">
        <v>1033</v>
      </c>
      <c r="G42" s="394" t="s">
        <v>1034</v>
      </c>
      <c r="H42" s="394" t="s">
        <v>702</v>
      </c>
      <c r="I42" s="394" t="s">
        <v>1035</v>
      </c>
      <c r="J42" s="394" t="s">
        <v>638</v>
      </c>
      <c r="K42" s="394" t="s">
        <v>709</v>
      </c>
      <c r="L42" s="394" t="s">
        <v>583</v>
      </c>
      <c r="M42" s="394" t="s">
        <v>650</v>
      </c>
      <c r="N42" s="394" t="s">
        <v>1036</v>
      </c>
      <c r="O42" s="394" t="s">
        <v>570</v>
      </c>
      <c r="P42" s="394" t="s">
        <v>1037</v>
      </c>
      <c r="Q42" s="394" t="s">
        <v>1038</v>
      </c>
      <c r="R42" s="394" t="s">
        <v>1039</v>
      </c>
    </row>
    <row r="43" spans="1:18">
      <c r="A43" s="391">
        <v>39</v>
      </c>
      <c r="B43" s="393" t="s">
        <v>690</v>
      </c>
      <c r="C43" s="394">
        <v>18</v>
      </c>
      <c r="D43" s="394">
        <v>450</v>
      </c>
      <c r="E43" s="394" t="s">
        <v>585</v>
      </c>
      <c r="F43" s="394" t="s">
        <v>701</v>
      </c>
      <c r="G43" s="394" t="s">
        <v>1040</v>
      </c>
      <c r="H43" s="394" t="s">
        <v>606</v>
      </c>
      <c r="I43" s="394" t="s">
        <v>564</v>
      </c>
      <c r="J43" s="394" t="s">
        <v>1041</v>
      </c>
      <c r="K43" s="394" t="s">
        <v>828</v>
      </c>
      <c r="L43" s="394" t="s">
        <v>496</v>
      </c>
      <c r="M43" s="394" t="s">
        <v>1042</v>
      </c>
      <c r="N43" s="394" t="s">
        <v>1043</v>
      </c>
      <c r="O43" s="394" t="s">
        <v>1044</v>
      </c>
      <c r="P43" s="394" t="s">
        <v>641</v>
      </c>
      <c r="Q43" s="394" t="s">
        <v>705</v>
      </c>
      <c r="R43" s="394" t="s">
        <v>1041</v>
      </c>
    </row>
    <row r="44" spans="1:18">
      <c r="A44" s="391">
        <v>40</v>
      </c>
      <c r="B44" s="393" t="s">
        <v>692</v>
      </c>
      <c r="C44" s="394">
        <v>25</v>
      </c>
      <c r="D44" s="394">
        <v>750</v>
      </c>
      <c r="E44" s="394" t="s">
        <v>841</v>
      </c>
      <c r="F44" s="394" t="s">
        <v>1045</v>
      </c>
      <c r="G44" s="394" t="s">
        <v>961</v>
      </c>
      <c r="H44" s="394" t="s">
        <v>518</v>
      </c>
      <c r="I44" s="394" t="s">
        <v>727</v>
      </c>
      <c r="J44" s="394" t="s">
        <v>957</v>
      </c>
      <c r="K44" s="394" t="s">
        <v>1046</v>
      </c>
      <c r="L44" s="394" t="s">
        <v>501</v>
      </c>
      <c r="M44" s="394" t="s">
        <v>628</v>
      </c>
      <c r="N44" s="394" t="s">
        <v>1047</v>
      </c>
      <c r="O44" s="394" t="s">
        <v>1048</v>
      </c>
      <c r="P44" s="394" t="s">
        <v>1049</v>
      </c>
      <c r="Q44" s="394" t="s">
        <v>1050</v>
      </c>
      <c r="R44" s="394" t="s">
        <v>1051</v>
      </c>
    </row>
    <row r="45" spans="1:18">
      <c r="A45" s="391">
        <v>41</v>
      </c>
      <c r="B45" s="393" t="s">
        <v>695</v>
      </c>
      <c r="C45" s="394">
        <v>23</v>
      </c>
      <c r="D45" s="394">
        <v>585</v>
      </c>
      <c r="E45" s="394" t="s">
        <v>506</v>
      </c>
      <c r="F45" s="394" t="s">
        <v>807</v>
      </c>
      <c r="G45" s="394" t="s">
        <v>618</v>
      </c>
      <c r="H45" s="394" t="s">
        <v>618</v>
      </c>
      <c r="I45" s="394" t="s">
        <v>723</v>
      </c>
      <c r="J45" s="394" t="s">
        <v>585</v>
      </c>
      <c r="K45" s="394" t="s">
        <v>520</v>
      </c>
      <c r="L45" s="394" t="s">
        <v>538</v>
      </c>
      <c r="M45" s="394" t="s">
        <v>527</v>
      </c>
      <c r="N45" s="394" t="s">
        <v>1052</v>
      </c>
      <c r="O45" s="394" t="s">
        <v>1053</v>
      </c>
      <c r="P45" s="394" t="s">
        <v>1054</v>
      </c>
      <c r="Q45" s="394" t="s">
        <v>1055</v>
      </c>
      <c r="R45" s="394" t="s">
        <v>1056</v>
      </c>
    </row>
    <row r="46" spans="1:18">
      <c r="A46" s="391">
        <v>42</v>
      </c>
      <c r="B46" s="393" t="s">
        <v>700</v>
      </c>
      <c r="C46" s="394">
        <v>22</v>
      </c>
      <c r="D46" s="394">
        <v>660</v>
      </c>
      <c r="E46" s="394" t="s">
        <v>504</v>
      </c>
      <c r="F46" s="394" t="s">
        <v>1057</v>
      </c>
      <c r="G46" s="394" t="s">
        <v>1058</v>
      </c>
      <c r="H46" s="394" t="s">
        <v>646</v>
      </c>
      <c r="I46" s="394" t="s">
        <v>817</v>
      </c>
      <c r="J46" s="394" t="s">
        <v>1059</v>
      </c>
      <c r="K46" s="394" t="s">
        <v>1060</v>
      </c>
      <c r="L46" s="394" t="s">
        <v>1119</v>
      </c>
      <c r="M46" s="394" t="s">
        <v>564</v>
      </c>
      <c r="N46" s="394" t="s">
        <v>1061</v>
      </c>
      <c r="O46" s="394" t="s">
        <v>1062</v>
      </c>
      <c r="P46" s="394" t="s">
        <v>1054</v>
      </c>
      <c r="Q46" s="394" t="s">
        <v>1063</v>
      </c>
      <c r="R46" s="394" t="s">
        <v>612</v>
      </c>
    </row>
    <row r="47" spans="1:18">
      <c r="A47" s="391">
        <v>43</v>
      </c>
      <c r="B47" s="393" t="s">
        <v>706</v>
      </c>
      <c r="C47" s="394">
        <v>20</v>
      </c>
      <c r="D47" s="394">
        <v>600</v>
      </c>
      <c r="E47" s="394" t="s">
        <v>583</v>
      </c>
      <c r="F47" s="394" t="s">
        <v>707</v>
      </c>
      <c r="G47" s="394" t="s">
        <v>708</v>
      </c>
      <c r="H47" s="394" t="s">
        <v>709</v>
      </c>
      <c r="I47" s="394" t="s">
        <v>616</v>
      </c>
      <c r="J47" s="394" t="s">
        <v>546</v>
      </c>
      <c r="K47" s="394" t="s">
        <v>576</v>
      </c>
      <c r="L47" s="394" t="s">
        <v>710</v>
      </c>
      <c r="M47" s="394" t="s">
        <v>550</v>
      </c>
      <c r="N47" s="394" t="s">
        <v>711</v>
      </c>
      <c r="O47" s="394" t="s">
        <v>1064</v>
      </c>
      <c r="P47" s="394" t="s">
        <v>552</v>
      </c>
      <c r="Q47" s="394" t="s">
        <v>1065</v>
      </c>
      <c r="R47" s="394" t="s">
        <v>637</v>
      </c>
    </row>
    <row r="48" spans="1:18">
      <c r="A48" s="391">
        <v>44</v>
      </c>
      <c r="B48" s="393" t="s">
        <v>712</v>
      </c>
      <c r="C48" s="394">
        <v>20</v>
      </c>
      <c r="D48" s="394">
        <v>600</v>
      </c>
      <c r="E48" s="394" t="s">
        <v>506</v>
      </c>
      <c r="F48" s="394" t="s">
        <v>507</v>
      </c>
      <c r="G48" s="394" t="s">
        <v>1066</v>
      </c>
      <c r="H48" s="394" t="s">
        <v>592</v>
      </c>
      <c r="I48" s="394" t="s">
        <v>1067</v>
      </c>
      <c r="J48" s="394" t="s">
        <v>1068</v>
      </c>
      <c r="K48" s="394" t="s">
        <v>642</v>
      </c>
      <c r="L48" s="394" t="s">
        <v>950</v>
      </c>
      <c r="M48" s="394" t="s">
        <v>556</v>
      </c>
      <c r="N48" s="394" t="s">
        <v>1069</v>
      </c>
      <c r="O48" s="394" t="s">
        <v>1070</v>
      </c>
      <c r="P48" s="394" t="s">
        <v>729</v>
      </c>
      <c r="Q48" s="394" t="s">
        <v>824</v>
      </c>
      <c r="R48" s="394" t="s">
        <v>1037</v>
      </c>
    </row>
    <row r="49" spans="1:18">
      <c r="A49" s="391">
        <v>45</v>
      </c>
      <c r="B49" s="393" t="s">
        <v>714</v>
      </c>
      <c r="C49" s="394">
        <v>25</v>
      </c>
      <c r="D49" s="394">
        <v>750</v>
      </c>
      <c r="E49" s="394" t="s">
        <v>562</v>
      </c>
      <c r="F49" s="394" t="s">
        <v>1071</v>
      </c>
      <c r="G49" s="394" t="s">
        <v>947</v>
      </c>
      <c r="H49" s="394" t="s">
        <v>1042</v>
      </c>
      <c r="I49" s="394" t="s">
        <v>589</v>
      </c>
      <c r="J49" s="394" t="s">
        <v>580</v>
      </c>
      <c r="K49" s="394" t="s">
        <v>1072</v>
      </c>
      <c r="L49" s="394" t="s">
        <v>573</v>
      </c>
      <c r="M49" s="394" t="s">
        <v>828</v>
      </c>
      <c r="N49" s="394" t="s">
        <v>1073</v>
      </c>
      <c r="O49" s="394" t="s">
        <v>1074</v>
      </c>
      <c r="P49" s="394" t="s">
        <v>1075</v>
      </c>
      <c r="Q49" s="394" t="s">
        <v>1076</v>
      </c>
      <c r="R49" s="394" t="s">
        <v>963</v>
      </c>
    </row>
    <row r="50" spans="1:18">
      <c r="A50" s="391">
        <v>46</v>
      </c>
      <c r="B50" s="393" t="s">
        <v>717</v>
      </c>
      <c r="C50" s="394">
        <v>20</v>
      </c>
      <c r="D50" s="394">
        <v>600</v>
      </c>
      <c r="E50" s="394" t="s">
        <v>569</v>
      </c>
      <c r="F50" s="394" t="s">
        <v>1077</v>
      </c>
      <c r="G50" s="394" t="s">
        <v>514</v>
      </c>
      <c r="H50" s="394" t="s">
        <v>716</v>
      </c>
      <c r="I50" s="394" t="s">
        <v>635</v>
      </c>
      <c r="J50" s="394" t="s">
        <v>618</v>
      </c>
      <c r="K50" s="394" t="s">
        <v>688</v>
      </c>
      <c r="L50" s="394" t="s">
        <v>522</v>
      </c>
      <c r="M50" s="394" t="s">
        <v>973</v>
      </c>
      <c r="N50" s="394" t="s">
        <v>1078</v>
      </c>
      <c r="O50" s="394" t="s">
        <v>1079</v>
      </c>
      <c r="P50" s="394" t="s">
        <v>1080</v>
      </c>
      <c r="Q50" s="394" t="s">
        <v>1081</v>
      </c>
      <c r="R50" s="394" t="s">
        <v>1082</v>
      </c>
    </row>
    <row r="51" spans="1:18">
      <c r="A51" s="391">
        <v>47</v>
      </c>
      <c r="B51" s="393" t="s">
        <v>720</v>
      </c>
      <c r="C51" s="394">
        <v>24</v>
      </c>
      <c r="D51" s="394">
        <v>700</v>
      </c>
      <c r="E51" s="394" t="s">
        <v>506</v>
      </c>
      <c r="F51" s="394" t="s">
        <v>925</v>
      </c>
      <c r="G51" s="394" t="s">
        <v>893</v>
      </c>
      <c r="H51" s="394" t="s">
        <v>867</v>
      </c>
      <c r="I51" s="394" t="s">
        <v>665</v>
      </c>
      <c r="J51" s="394" t="s">
        <v>580</v>
      </c>
      <c r="K51" s="394" t="s">
        <v>1083</v>
      </c>
      <c r="L51" s="394" t="s">
        <v>506</v>
      </c>
      <c r="M51" s="394" t="s">
        <v>677</v>
      </c>
      <c r="N51" s="394" t="s">
        <v>1084</v>
      </c>
      <c r="O51" s="394" t="s">
        <v>1085</v>
      </c>
      <c r="P51" s="394" t="s">
        <v>621</v>
      </c>
      <c r="Q51" s="394" t="s">
        <v>617</v>
      </c>
      <c r="R51" s="394" t="s">
        <v>1086</v>
      </c>
    </row>
    <row r="52" spans="1:18">
      <c r="A52" s="391">
        <v>48</v>
      </c>
      <c r="B52" s="393" t="s">
        <v>725</v>
      </c>
      <c r="C52" s="394">
        <v>30</v>
      </c>
      <c r="D52" s="394">
        <v>750</v>
      </c>
      <c r="E52" s="394" t="s">
        <v>573</v>
      </c>
      <c r="F52" s="394" t="s">
        <v>1087</v>
      </c>
      <c r="G52" s="394" t="s">
        <v>713</v>
      </c>
      <c r="H52" s="394" t="s">
        <v>704</v>
      </c>
      <c r="I52" s="394" t="s">
        <v>574</v>
      </c>
      <c r="J52" s="394" t="s">
        <v>971</v>
      </c>
      <c r="K52" s="394" t="s">
        <v>1088</v>
      </c>
      <c r="L52" s="394" t="s">
        <v>627</v>
      </c>
      <c r="M52" s="394" t="s">
        <v>542</v>
      </c>
      <c r="N52" s="394" t="s">
        <v>1089</v>
      </c>
      <c r="O52" s="394" t="s">
        <v>1090</v>
      </c>
      <c r="P52" s="394" t="s">
        <v>881</v>
      </c>
      <c r="Q52" s="394" t="s">
        <v>1091</v>
      </c>
      <c r="R52" s="394" t="s">
        <v>739</v>
      </c>
    </row>
    <row r="53" spans="1:18">
      <c r="A53" s="391">
        <v>49</v>
      </c>
      <c r="B53" s="393" t="s">
        <v>730</v>
      </c>
      <c r="C53" s="394">
        <v>30</v>
      </c>
      <c r="D53" s="394">
        <v>750</v>
      </c>
      <c r="E53" s="394" t="s">
        <v>609</v>
      </c>
      <c r="F53" s="394" t="s">
        <v>611</v>
      </c>
      <c r="G53" s="394" t="s">
        <v>683</v>
      </c>
      <c r="H53" s="394" t="s">
        <v>689</v>
      </c>
      <c r="I53" s="394" t="s">
        <v>550</v>
      </c>
      <c r="J53" s="394" t="s">
        <v>1051</v>
      </c>
      <c r="K53" s="394" t="s">
        <v>1092</v>
      </c>
      <c r="L53" s="394" t="s">
        <v>623</v>
      </c>
      <c r="M53" s="394" t="s">
        <v>540</v>
      </c>
      <c r="N53" s="394" t="s">
        <v>1093</v>
      </c>
      <c r="O53" s="394" t="s">
        <v>588</v>
      </c>
      <c r="P53" s="394" t="s">
        <v>629</v>
      </c>
      <c r="Q53" s="394" t="s">
        <v>1094</v>
      </c>
      <c r="R53" s="394" t="s">
        <v>606</v>
      </c>
    </row>
    <row r="54" spans="1:18">
      <c r="A54" s="391">
        <v>50</v>
      </c>
      <c r="B54" s="393" t="s">
        <v>734</v>
      </c>
      <c r="C54" s="394">
        <v>25</v>
      </c>
      <c r="D54" s="394">
        <v>750</v>
      </c>
      <c r="E54" s="394" t="s">
        <v>841</v>
      </c>
      <c r="F54" s="394" t="s">
        <v>1095</v>
      </c>
      <c r="G54" s="394" t="s">
        <v>1096</v>
      </c>
      <c r="H54" s="394" t="s">
        <v>1097</v>
      </c>
      <c r="I54" s="394" t="s">
        <v>817</v>
      </c>
      <c r="J54" s="394" t="s">
        <v>653</v>
      </c>
      <c r="K54" s="394" t="s">
        <v>632</v>
      </c>
      <c r="L54" s="394" t="s">
        <v>655</v>
      </c>
      <c r="M54" s="394" t="s">
        <v>738</v>
      </c>
      <c r="N54" s="394" t="s">
        <v>1098</v>
      </c>
      <c r="O54" s="394" t="s">
        <v>1025</v>
      </c>
      <c r="P54" s="394" t="s">
        <v>1099</v>
      </c>
      <c r="Q54" s="394" t="s">
        <v>736</v>
      </c>
      <c r="R54" s="394" t="s">
        <v>564</v>
      </c>
    </row>
    <row r="55" spans="1:18">
      <c r="A55" s="391">
        <v>51</v>
      </c>
      <c r="B55" s="393" t="s">
        <v>737</v>
      </c>
      <c r="C55" s="394">
        <v>25</v>
      </c>
      <c r="D55" s="394">
        <v>625</v>
      </c>
      <c r="E55" s="394" t="s">
        <v>841</v>
      </c>
      <c r="F55" s="394" t="s">
        <v>1018</v>
      </c>
      <c r="G55" s="394" t="s">
        <v>640</v>
      </c>
      <c r="H55" s="394" t="s">
        <v>732</v>
      </c>
      <c r="I55" s="394" t="s">
        <v>565</v>
      </c>
      <c r="J55" s="394" t="s">
        <v>531</v>
      </c>
      <c r="K55" s="394" t="s">
        <v>494</v>
      </c>
      <c r="L55" s="394" t="s">
        <v>722</v>
      </c>
      <c r="M55" s="394" t="s">
        <v>658</v>
      </c>
      <c r="N55" s="394" t="s">
        <v>1100</v>
      </c>
      <c r="O55" s="394" t="s">
        <v>1101</v>
      </c>
      <c r="P55" s="394" t="s">
        <v>1102</v>
      </c>
      <c r="Q55" s="394" t="s">
        <v>1103</v>
      </c>
      <c r="R55" s="394" t="s">
        <v>1080</v>
      </c>
    </row>
    <row r="56" spans="1:18" s="397" customFormat="1">
      <c r="A56" s="395"/>
      <c r="B56" s="395" t="s">
        <v>0</v>
      </c>
      <c r="C56" s="396">
        <f t="shared" ref="C56:D56" si="0">SUM(C5:C55)</f>
        <v>1248</v>
      </c>
      <c r="D56" s="396">
        <f t="shared" si="0"/>
        <v>35500</v>
      </c>
      <c r="E56" s="396" t="s">
        <v>1104</v>
      </c>
      <c r="F56" s="396" t="s">
        <v>1105</v>
      </c>
      <c r="G56" s="396" t="s">
        <v>1106</v>
      </c>
      <c r="H56" s="396" t="s">
        <v>1107</v>
      </c>
      <c r="I56" s="396" t="s">
        <v>1108</v>
      </c>
      <c r="J56" s="396" t="s">
        <v>1109</v>
      </c>
      <c r="K56" s="396" t="s">
        <v>1110</v>
      </c>
      <c r="L56" s="396" t="s">
        <v>1111</v>
      </c>
      <c r="M56" s="396" t="s">
        <v>1112</v>
      </c>
      <c r="N56" s="396" t="s">
        <v>1113</v>
      </c>
      <c r="O56" s="396" t="s">
        <v>1114</v>
      </c>
      <c r="P56" s="396" t="s">
        <v>1115</v>
      </c>
      <c r="Q56" s="396" t="s">
        <v>1116</v>
      </c>
      <c r="R56" s="396" t="s">
        <v>1117</v>
      </c>
    </row>
  </sheetData>
  <mergeCells count="7">
    <mergeCell ref="A1:S1"/>
    <mergeCell ref="O2:P2"/>
    <mergeCell ref="C3:D3"/>
    <mergeCell ref="E3:L3"/>
    <mergeCell ref="M3:S3"/>
    <mergeCell ref="A3:A4"/>
    <mergeCell ref="B3:B4"/>
  </mergeCells>
  <pageMargins left="0.2" right="0.2" top="1" bottom="0.25" header="0.3" footer="0.3"/>
  <pageSetup paperSize="9" scale="7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view="pageBreakPreview" zoomScale="60" zoomScaleNormal="100" workbookViewId="0">
      <pane xSplit="2" ySplit="5" topLeftCell="C29" activePane="bottomRight" state="frozen"/>
      <selection pane="topRight" activeCell="C1" sqref="C1"/>
      <selection pane="bottomLeft" activeCell="A4" sqref="A4"/>
      <selection pane="bottomRight" activeCell="H45" sqref="H45"/>
    </sheetView>
  </sheetViews>
  <sheetFormatPr defaultRowHeight="13.5"/>
  <cols>
    <col min="1" max="1" width="3.5703125" style="386" bestFit="1" customWidth="1"/>
    <col min="2" max="2" width="20.85546875" style="385" customWidth="1"/>
    <col min="3" max="3" width="14.85546875" style="385" bestFit="1" customWidth="1"/>
    <col min="4" max="4" width="12" style="385" bestFit="1" customWidth="1"/>
    <col min="5" max="5" width="10.42578125" style="387" bestFit="1" customWidth="1"/>
    <col min="6" max="6" width="14.140625" style="385" bestFit="1" customWidth="1"/>
    <col min="7" max="7" width="13.42578125" style="385" bestFit="1" customWidth="1"/>
    <col min="8" max="8" width="12.7109375" style="387" bestFit="1" customWidth="1"/>
    <col min="9" max="9" width="12" style="385" bestFit="1" customWidth="1"/>
    <col min="10" max="10" width="8.42578125" style="387" bestFit="1" customWidth="1"/>
    <col min="11" max="11" width="12.5703125" style="385" customWidth="1"/>
    <col min="12" max="12" width="8.28515625" style="387" bestFit="1" customWidth="1"/>
    <col min="13" max="13" width="10.5703125" style="385" bestFit="1" customWidth="1"/>
    <col min="14" max="14" width="12" style="385" bestFit="1" customWidth="1"/>
    <col min="15" max="15" width="7.85546875" style="387" bestFit="1" customWidth="1"/>
    <col min="16" max="16384" width="9.140625" style="385"/>
  </cols>
  <sheetData>
    <row r="1" spans="1:15" ht="18.75">
      <c r="A1" s="764" t="s">
        <v>780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  <c r="N1" s="764"/>
      <c r="O1" s="764"/>
    </row>
    <row r="2" spans="1:15">
      <c r="A2" s="762" t="s">
        <v>798</v>
      </c>
      <c r="B2" s="762"/>
      <c r="C2" s="762"/>
      <c r="D2" s="762"/>
      <c r="E2" s="762"/>
      <c r="F2" s="762"/>
      <c r="G2" s="762"/>
      <c r="H2" s="762"/>
      <c r="I2" s="762"/>
      <c r="J2" s="762"/>
      <c r="K2" s="762"/>
      <c r="L2" s="762"/>
      <c r="M2" s="762"/>
      <c r="N2" s="762"/>
      <c r="O2" s="762"/>
    </row>
    <row r="3" spans="1:15">
      <c r="L3" s="763" t="s">
        <v>111</v>
      </c>
      <c r="M3" s="763"/>
      <c r="N3" s="763"/>
      <c r="O3" s="763"/>
    </row>
    <row r="5" spans="1:15" s="388" customFormat="1" ht="67.5">
      <c r="A5" s="375" t="s">
        <v>120</v>
      </c>
      <c r="B5" s="375" t="s">
        <v>468</v>
      </c>
      <c r="C5" s="375" t="s">
        <v>781</v>
      </c>
      <c r="D5" s="375" t="s">
        <v>782</v>
      </c>
      <c r="E5" s="373" t="s">
        <v>783</v>
      </c>
      <c r="F5" s="375" t="s">
        <v>784</v>
      </c>
      <c r="G5" s="375" t="s">
        <v>785</v>
      </c>
      <c r="H5" s="373" t="s">
        <v>786</v>
      </c>
      <c r="I5" s="375" t="s">
        <v>787</v>
      </c>
      <c r="J5" s="373" t="s">
        <v>788</v>
      </c>
      <c r="K5" s="375" t="s">
        <v>789</v>
      </c>
      <c r="L5" s="373" t="s">
        <v>790</v>
      </c>
      <c r="M5" s="375" t="s">
        <v>797</v>
      </c>
      <c r="N5" s="375" t="s">
        <v>791</v>
      </c>
      <c r="O5" s="373" t="s">
        <v>796</v>
      </c>
    </row>
    <row r="6" spans="1:15">
      <c r="A6" s="57">
        <v>1</v>
      </c>
      <c r="B6" s="58" t="s">
        <v>55</v>
      </c>
      <c r="C6" s="58">
        <v>507666</v>
      </c>
      <c r="D6" s="58">
        <v>65823</v>
      </c>
      <c r="E6" s="99">
        <v>62.77</v>
      </c>
      <c r="F6" s="58">
        <v>410405</v>
      </c>
      <c r="G6" s="58">
        <v>258472</v>
      </c>
      <c r="H6" s="99">
        <f t="shared" ref="H6:H22" si="0">G6*100/C6</f>
        <v>50.913789775167139</v>
      </c>
      <c r="I6" s="58">
        <v>85105</v>
      </c>
      <c r="J6" s="99">
        <f t="shared" ref="J6:J22" si="1">I6*100/C6</f>
        <v>16.763974739297097</v>
      </c>
      <c r="K6" s="58">
        <v>226647</v>
      </c>
      <c r="L6" s="99">
        <f t="shared" ref="L6:L22" si="2">K6*100/F6</f>
        <v>55.225204371291774</v>
      </c>
      <c r="M6" s="98">
        <f>'Weaker Sec_7'!K6</f>
        <v>1274</v>
      </c>
      <c r="N6" s="58">
        <v>199062</v>
      </c>
      <c r="O6" s="99">
        <f t="shared" ref="O6:O22" si="3">N6*100/C6</f>
        <v>39.211213671981184</v>
      </c>
    </row>
    <row r="7" spans="1:15">
      <c r="A7" s="57">
        <v>2</v>
      </c>
      <c r="B7" s="58" t="s">
        <v>56</v>
      </c>
      <c r="C7" s="58">
        <v>21347</v>
      </c>
      <c r="D7" s="58">
        <v>416</v>
      </c>
      <c r="E7" s="99">
        <v>3.73</v>
      </c>
      <c r="F7" s="58">
        <v>16569</v>
      </c>
      <c r="G7" s="58">
        <v>16082</v>
      </c>
      <c r="H7" s="99">
        <f t="shared" si="0"/>
        <v>75.336112802735741</v>
      </c>
      <c r="I7" s="58">
        <v>5083</v>
      </c>
      <c r="J7" s="99">
        <f t="shared" si="1"/>
        <v>23.811308380568697</v>
      </c>
      <c r="K7" s="58">
        <v>11754</v>
      </c>
      <c r="L7" s="99">
        <f t="shared" si="2"/>
        <v>70.939706681151549</v>
      </c>
      <c r="M7" s="98">
        <f>'Weaker Sec_7'!K7</f>
        <v>315</v>
      </c>
      <c r="N7" s="58">
        <v>5675</v>
      </c>
      <c r="O7" s="99">
        <f t="shared" si="3"/>
        <v>26.584531784325666</v>
      </c>
    </row>
    <row r="8" spans="1:15">
      <c r="A8" s="57">
        <v>3</v>
      </c>
      <c r="B8" s="58" t="s">
        <v>57</v>
      </c>
      <c r="C8" s="58">
        <v>687392</v>
      </c>
      <c r="D8" s="58">
        <v>24327</v>
      </c>
      <c r="E8" s="99">
        <v>25.24</v>
      </c>
      <c r="F8" s="58">
        <v>292964</v>
      </c>
      <c r="G8" s="58">
        <v>456048</v>
      </c>
      <c r="H8" s="99">
        <f t="shared" si="0"/>
        <v>66.344676691029278</v>
      </c>
      <c r="I8" s="58">
        <v>150307</v>
      </c>
      <c r="J8" s="99">
        <f t="shared" si="1"/>
        <v>21.86627135608212</v>
      </c>
      <c r="K8" s="58">
        <v>89062</v>
      </c>
      <c r="L8" s="99">
        <f t="shared" si="2"/>
        <v>30.400322223890988</v>
      </c>
      <c r="M8" s="98">
        <f>'Weaker Sec_7'!K8</f>
        <v>6285</v>
      </c>
      <c r="N8" s="58">
        <v>401256</v>
      </c>
      <c r="O8" s="99">
        <f t="shared" si="3"/>
        <v>58.373679065220429</v>
      </c>
    </row>
    <row r="9" spans="1:15">
      <c r="A9" s="57">
        <v>4</v>
      </c>
      <c r="B9" s="58" t="s">
        <v>58</v>
      </c>
      <c r="C9" s="58">
        <v>3214533</v>
      </c>
      <c r="D9" s="58">
        <v>295146</v>
      </c>
      <c r="E9" s="99">
        <v>347.02</v>
      </c>
      <c r="F9" s="58">
        <v>3211806</v>
      </c>
      <c r="G9" s="58">
        <v>2121591</v>
      </c>
      <c r="H9" s="99">
        <f t="shared" si="0"/>
        <v>65.99997573520011</v>
      </c>
      <c r="I9" s="58">
        <v>791959</v>
      </c>
      <c r="J9" s="99">
        <f t="shared" si="1"/>
        <v>24.636829051062783</v>
      </c>
      <c r="K9" s="58">
        <v>1671557</v>
      </c>
      <c r="L9" s="99">
        <f t="shared" si="2"/>
        <v>52.044145879296572</v>
      </c>
      <c r="M9" s="98">
        <f>'Weaker Sec_7'!K9</f>
        <v>7905</v>
      </c>
      <c r="N9" s="58">
        <v>2412899</v>
      </c>
      <c r="O9" s="99">
        <f t="shared" si="3"/>
        <v>75.062194104089144</v>
      </c>
    </row>
    <row r="10" spans="1:15">
      <c r="A10" s="57">
        <v>5</v>
      </c>
      <c r="B10" s="58" t="s">
        <v>59</v>
      </c>
      <c r="C10" s="58">
        <v>430487</v>
      </c>
      <c r="D10" s="58">
        <v>68350</v>
      </c>
      <c r="E10" s="99">
        <v>83.41</v>
      </c>
      <c r="F10" s="58">
        <v>254828</v>
      </c>
      <c r="G10" s="58">
        <v>313895</v>
      </c>
      <c r="H10" s="99">
        <f t="shared" si="0"/>
        <v>72.916255310845628</v>
      </c>
      <c r="I10" s="58">
        <v>163173</v>
      </c>
      <c r="J10" s="99">
        <f t="shared" si="1"/>
        <v>37.904280500921047</v>
      </c>
      <c r="K10" s="58">
        <v>254828</v>
      </c>
      <c r="L10" s="99">
        <f t="shared" si="2"/>
        <v>100</v>
      </c>
      <c r="M10" s="98">
        <f>'Weaker Sec_7'!K10</f>
        <v>68</v>
      </c>
      <c r="N10" s="58">
        <v>235224</v>
      </c>
      <c r="O10" s="99">
        <f t="shared" si="3"/>
        <v>54.641371284150274</v>
      </c>
    </row>
    <row r="11" spans="1:15">
      <c r="A11" s="57">
        <v>6</v>
      </c>
      <c r="B11" s="58" t="s">
        <v>241</v>
      </c>
      <c r="C11" s="58">
        <v>3738</v>
      </c>
      <c r="D11" s="58">
        <v>0</v>
      </c>
      <c r="E11" s="99">
        <v>1.71</v>
      </c>
      <c r="F11" s="58">
        <v>3737</v>
      </c>
      <c r="G11" s="58">
        <v>2711</v>
      </c>
      <c r="H11" s="99">
        <f t="shared" si="0"/>
        <v>72.525414660246128</v>
      </c>
      <c r="I11" s="58">
        <v>472</v>
      </c>
      <c r="J11" s="99">
        <f t="shared" si="1"/>
        <v>12.627073301230604</v>
      </c>
      <c r="K11" s="58">
        <v>3737</v>
      </c>
      <c r="L11" s="99">
        <f t="shared" si="2"/>
        <v>100</v>
      </c>
      <c r="M11" s="98">
        <f>'Weaker Sec_7'!K11</f>
        <v>0</v>
      </c>
      <c r="N11" s="58">
        <v>3352</v>
      </c>
      <c r="O11" s="99">
        <f t="shared" si="3"/>
        <v>89.673622257891921</v>
      </c>
    </row>
    <row r="12" spans="1:15">
      <c r="A12" s="57">
        <v>7</v>
      </c>
      <c r="B12" s="58" t="s">
        <v>60</v>
      </c>
      <c r="C12" s="58">
        <v>176432</v>
      </c>
      <c r="D12" s="58">
        <v>11942</v>
      </c>
      <c r="E12" s="99">
        <v>58.76</v>
      </c>
      <c r="F12" s="58">
        <v>122198</v>
      </c>
      <c r="G12" s="58">
        <v>116621</v>
      </c>
      <c r="H12" s="99">
        <f t="shared" si="0"/>
        <v>66.099687131586109</v>
      </c>
      <c r="I12" s="58">
        <v>27922</v>
      </c>
      <c r="J12" s="99">
        <f t="shared" si="1"/>
        <v>15.825927269429583</v>
      </c>
      <c r="K12" s="58">
        <v>121853</v>
      </c>
      <c r="L12" s="99">
        <f t="shared" si="2"/>
        <v>99.717671320316214</v>
      </c>
      <c r="M12" s="98">
        <f>'Weaker Sec_7'!K12</f>
        <v>8254</v>
      </c>
      <c r="N12" s="58">
        <v>113359</v>
      </c>
      <c r="O12" s="99">
        <f t="shared" si="3"/>
        <v>64.250816178471027</v>
      </c>
    </row>
    <row r="13" spans="1:15">
      <c r="A13" s="57">
        <v>8</v>
      </c>
      <c r="B13" s="58" t="s">
        <v>61</v>
      </c>
      <c r="C13" s="58">
        <v>1561761</v>
      </c>
      <c r="D13" s="58">
        <v>29542</v>
      </c>
      <c r="E13" s="99">
        <v>218.355514097</v>
      </c>
      <c r="F13" s="58">
        <v>1101261</v>
      </c>
      <c r="G13" s="58">
        <v>1011428</v>
      </c>
      <c r="H13" s="99">
        <f t="shared" si="0"/>
        <v>64.762021845852217</v>
      </c>
      <c r="I13" s="58">
        <v>145524</v>
      </c>
      <c r="J13" s="99">
        <f t="shared" si="1"/>
        <v>9.3179430143280566</v>
      </c>
      <c r="K13" s="58">
        <v>479639</v>
      </c>
      <c r="L13" s="99">
        <f t="shared" si="2"/>
        <v>43.553617171587845</v>
      </c>
      <c r="M13" s="98">
        <f>'Weaker Sec_7'!K13</f>
        <v>5145</v>
      </c>
      <c r="N13" s="58">
        <v>749512</v>
      </c>
      <c r="O13" s="99">
        <f t="shared" si="3"/>
        <v>47.991466043780065</v>
      </c>
    </row>
    <row r="14" spans="1:15">
      <c r="A14" s="57">
        <v>9</v>
      </c>
      <c r="B14" s="58" t="s">
        <v>48</v>
      </c>
      <c r="C14" s="58">
        <v>93735</v>
      </c>
      <c r="D14" s="58">
        <v>0</v>
      </c>
      <c r="E14" s="99">
        <v>29.1</v>
      </c>
      <c r="F14" s="58">
        <v>57181</v>
      </c>
      <c r="G14" s="58">
        <v>66843</v>
      </c>
      <c r="H14" s="99">
        <f t="shared" si="0"/>
        <v>71.310609697551612</v>
      </c>
      <c r="I14" s="58">
        <v>4110</v>
      </c>
      <c r="J14" s="99">
        <f t="shared" si="1"/>
        <v>4.3847015522483597</v>
      </c>
      <c r="K14" s="58">
        <v>47581</v>
      </c>
      <c r="L14" s="99">
        <f t="shared" si="2"/>
        <v>83.21120651964813</v>
      </c>
      <c r="M14" s="98">
        <f>'Weaker Sec_7'!K14</f>
        <v>0</v>
      </c>
      <c r="N14" s="58">
        <v>65604</v>
      </c>
      <c r="O14" s="99">
        <f t="shared" si="3"/>
        <v>69.988798207713231</v>
      </c>
    </row>
    <row r="15" spans="1:15">
      <c r="A15" s="57">
        <v>10</v>
      </c>
      <c r="B15" s="58" t="s">
        <v>49</v>
      </c>
      <c r="C15" s="58">
        <v>133988</v>
      </c>
      <c r="D15" s="58">
        <v>3002</v>
      </c>
      <c r="E15" s="99">
        <v>22.54</v>
      </c>
      <c r="F15" s="58">
        <v>91754</v>
      </c>
      <c r="G15" s="58">
        <v>97487</v>
      </c>
      <c r="H15" s="99">
        <f t="shared" si="0"/>
        <v>72.758008179837006</v>
      </c>
      <c r="I15" s="58">
        <v>28201</v>
      </c>
      <c r="J15" s="99">
        <f t="shared" si="1"/>
        <v>21.047407230498255</v>
      </c>
      <c r="K15" s="58">
        <v>47581</v>
      </c>
      <c r="L15" s="99">
        <f t="shared" si="2"/>
        <v>51.857139743226455</v>
      </c>
      <c r="M15" s="98">
        <f>'Weaker Sec_7'!K15</f>
        <v>1603</v>
      </c>
      <c r="N15" s="58">
        <v>66478</v>
      </c>
      <c r="O15" s="99">
        <f t="shared" si="3"/>
        <v>49.61489088575096</v>
      </c>
    </row>
    <row r="16" spans="1:15">
      <c r="A16" s="57">
        <v>11</v>
      </c>
      <c r="B16" s="58" t="s">
        <v>81</v>
      </c>
      <c r="C16" s="58">
        <v>60589</v>
      </c>
      <c r="D16" s="58">
        <v>0</v>
      </c>
      <c r="E16" s="99">
        <v>11.14</v>
      </c>
      <c r="F16" s="58">
        <v>52773</v>
      </c>
      <c r="G16" s="58">
        <v>34054</v>
      </c>
      <c r="H16" s="99">
        <f t="shared" si="0"/>
        <v>56.204921685454458</v>
      </c>
      <c r="I16" s="58">
        <v>27697</v>
      </c>
      <c r="J16" s="99">
        <f t="shared" si="1"/>
        <v>45.712918186469494</v>
      </c>
      <c r="K16" s="58">
        <v>17791</v>
      </c>
      <c r="L16" s="99">
        <f t="shared" si="2"/>
        <v>33.712315009569288</v>
      </c>
      <c r="M16" s="98">
        <f>'Weaker Sec_7'!K16</f>
        <v>18</v>
      </c>
      <c r="N16" s="58">
        <v>59333</v>
      </c>
      <c r="O16" s="99">
        <f t="shared" si="3"/>
        <v>97.927016455132119</v>
      </c>
    </row>
    <row r="17" spans="1:15">
      <c r="A17" s="57">
        <v>12</v>
      </c>
      <c r="B17" s="58" t="s">
        <v>62</v>
      </c>
      <c r="C17" s="58">
        <v>39838</v>
      </c>
      <c r="D17" s="58">
        <v>0</v>
      </c>
      <c r="E17" s="99">
        <v>5.29</v>
      </c>
      <c r="F17" s="58">
        <v>39453</v>
      </c>
      <c r="G17" s="58">
        <v>29341</v>
      </c>
      <c r="H17" s="99">
        <f t="shared" si="0"/>
        <v>73.650785682012156</v>
      </c>
      <c r="I17" s="58">
        <v>13035</v>
      </c>
      <c r="J17" s="99">
        <f t="shared" si="1"/>
        <v>32.720016065063504</v>
      </c>
      <c r="K17" s="58">
        <v>32833</v>
      </c>
      <c r="L17" s="99">
        <f t="shared" si="2"/>
        <v>83.220540896763239</v>
      </c>
      <c r="M17" s="98">
        <f>'Weaker Sec_7'!K17</f>
        <v>197</v>
      </c>
      <c r="N17" s="58">
        <v>19867</v>
      </c>
      <c r="O17" s="99">
        <f t="shared" si="3"/>
        <v>49.869471359003967</v>
      </c>
    </row>
    <row r="18" spans="1:15">
      <c r="A18" s="57">
        <v>13</v>
      </c>
      <c r="B18" s="58" t="s">
        <v>63</v>
      </c>
      <c r="C18" s="58">
        <v>62717</v>
      </c>
      <c r="D18" s="58">
        <v>0</v>
      </c>
      <c r="E18" s="99">
        <v>10.76</v>
      </c>
      <c r="F18" s="58">
        <v>59908</v>
      </c>
      <c r="G18" s="58">
        <v>41279</v>
      </c>
      <c r="H18" s="99">
        <f t="shared" si="0"/>
        <v>65.817880319530587</v>
      </c>
      <c r="I18" s="58">
        <v>17608</v>
      </c>
      <c r="J18" s="99">
        <f t="shared" si="1"/>
        <v>28.07532248034823</v>
      </c>
      <c r="K18" s="58">
        <v>37751</v>
      </c>
      <c r="L18" s="99">
        <f t="shared" si="2"/>
        <v>63.014956266274957</v>
      </c>
      <c r="M18" s="98">
        <f>'Weaker Sec_7'!K18</f>
        <v>58</v>
      </c>
      <c r="N18" s="58">
        <v>39260</v>
      </c>
      <c r="O18" s="99">
        <f t="shared" si="3"/>
        <v>62.598657461294387</v>
      </c>
    </row>
    <row r="19" spans="1:15">
      <c r="A19" s="57">
        <v>14</v>
      </c>
      <c r="B19" s="58" t="s">
        <v>206</v>
      </c>
      <c r="C19" s="58">
        <v>131220</v>
      </c>
      <c r="D19" s="58">
        <v>5912</v>
      </c>
      <c r="E19" s="99">
        <v>0</v>
      </c>
      <c r="F19" s="58">
        <v>125686</v>
      </c>
      <c r="G19" s="58">
        <v>77350</v>
      </c>
      <c r="H19" s="99">
        <f t="shared" si="0"/>
        <v>58.946806889193724</v>
      </c>
      <c r="I19" s="58">
        <v>18978</v>
      </c>
      <c r="J19" s="99">
        <f t="shared" si="1"/>
        <v>14.462734339277549</v>
      </c>
      <c r="K19" s="58">
        <v>29931</v>
      </c>
      <c r="L19" s="99">
        <f t="shared" si="2"/>
        <v>23.814108174339225</v>
      </c>
      <c r="M19" s="98">
        <f>'Weaker Sec_7'!K19</f>
        <v>353</v>
      </c>
      <c r="N19" s="58">
        <v>125686</v>
      </c>
      <c r="O19" s="99">
        <f t="shared" si="3"/>
        <v>95.782655083066601</v>
      </c>
    </row>
    <row r="20" spans="1:15">
      <c r="A20" s="57">
        <v>15</v>
      </c>
      <c r="B20" s="58" t="s">
        <v>207</v>
      </c>
      <c r="C20" s="58">
        <v>39958</v>
      </c>
      <c r="D20" s="58">
        <v>2052</v>
      </c>
      <c r="E20" s="99">
        <v>17.16</v>
      </c>
      <c r="F20" s="58">
        <v>34693</v>
      </c>
      <c r="G20" s="58">
        <v>30223</v>
      </c>
      <c r="H20" s="99">
        <f t="shared" si="0"/>
        <v>75.636918764702941</v>
      </c>
      <c r="I20" s="58">
        <v>158</v>
      </c>
      <c r="J20" s="99">
        <f t="shared" si="1"/>
        <v>0.3954151859452425</v>
      </c>
      <c r="K20" s="58">
        <v>29614</v>
      </c>
      <c r="L20" s="99">
        <f t="shared" si="2"/>
        <v>85.360159109906903</v>
      </c>
      <c r="M20" s="98">
        <f>'Weaker Sec_7'!K20</f>
        <v>3192</v>
      </c>
      <c r="N20" s="58">
        <v>17644</v>
      </c>
      <c r="O20" s="99">
        <f t="shared" si="3"/>
        <v>44.156364182391513</v>
      </c>
    </row>
    <row r="21" spans="1:15">
      <c r="A21" s="57">
        <v>16</v>
      </c>
      <c r="B21" s="58" t="s">
        <v>64</v>
      </c>
      <c r="C21" s="58">
        <v>1104930</v>
      </c>
      <c r="D21" s="58">
        <v>55907</v>
      </c>
      <c r="E21" s="99">
        <v>140.29</v>
      </c>
      <c r="F21" s="58">
        <v>896992</v>
      </c>
      <c r="G21" s="58">
        <v>994329</v>
      </c>
      <c r="H21" s="99">
        <f t="shared" si="0"/>
        <v>89.990225625152718</v>
      </c>
      <c r="I21" s="58">
        <v>152448</v>
      </c>
      <c r="J21" s="99">
        <f t="shared" si="1"/>
        <v>13.797073117754065</v>
      </c>
      <c r="K21" s="58">
        <v>695849</v>
      </c>
      <c r="L21" s="99">
        <f t="shared" si="2"/>
        <v>77.575831222575005</v>
      </c>
      <c r="M21" s="98">
        <f>'Weaker Sec_7'!K21</f>
        <v>1173</v>
      </c>
      <c r="N21" s="58">
        <v>99488</v>
      </c>
      <c r="O21" s="99">
        <f t="shared" si="3"/>
        <v>9.0040093037567992</v>
      </c>
    </row>
    <row r="22" spans="1:15">
      <c r="A22" s="57">
        <v>17</v>
      </c>
      <c r="B22" s="58" t="s">
        <v>69</v>
      </c>
      <c r="C22" s="58">
        <v>1991</v>
      </c>
      <c r="D22" s="58">
        <v>275</v>
      </c>
      <c r="E22" s="99">
        <v>0.04</v>
      </c>
      <c r="F22" s="58">
        <v>1978</v>
      </c>
      <c r="G22" s="58">
        <v>1245</v>
      </c>
      <c r="H22" s="99">
        <f t="shared" si="0"/>
        <v>62.531391260673026</v>
      </c>
      <c r="I22" s="58">
        <v>802</v>
      </c>
      <c r="J22" s="99">
        <f t="shared" si="1"/>
        <v>40.281265695630339</v>
      </c>
      <c r="K22" s="58">
        <v>1245</v>
      </c>
      <c r="L22" s="99">
        <f t="shared" si="2"/>
        <v>62.942366026289179</v>
      </c>
      <c r="M22" s="98">
        <f>'Weaker Sec_7'!K22</f>
        <v>0</v>
      </c>
      <c r="N22" s="58">
        <v>1991</v>
      </c>
      <c r="O22" s="99">
        <f t="shared" si="3"/>
        <v>100</v>
      </c>
    </row>
    <row r="23" spans="1:15">
      <c r="A23" s="57">
        <v>18</v>
      </c>
      <c r="B23" s="58" t="s">
        <v>208</v>
      </c>
      <c r="C23" s="58">
        <v>0</v>
      </c>
      <c r="D23" s="58">
        <v>0</v>
      </c>
      <c r="E23" s="99">
        <v>0</v>
      </c>
      <c r="F23" s="58">
        <v>0</v>
      </c>
      <c r="G23" s="58">
        <v>0</v>
      </c>
      <c r="H23" s="99">
        <v>0</v>
      </c>
      <c r="I23" s="58">
        <v>0</v>
      </c>
      <c r="J23" s="99">
        <v>0</v>
      </c>
      <c r="K23" s="58">
        <v>0</v>
      </c>
      <c r="L23" s="99">
        <v>0</v>
      </c>
      <c r="M23" s="98">
        <f>'Weaker Sec_7'!K23</f>
        <v>0</v>
      </c>
      <c r="N23" s="58">
        <v>0</v>
      </c>
      <c r="O23" s="99">
        <v>0</v>
      </c>
    </row>
    <row r="24" spans="1:15">
      <c r="A24" s="57">
        <v>19</v>
      </c>
      <c r="B24" s="58" t="s">
        <v>209</v>
      </c>
      <c r="C24" s="58">
        <v>2000</v>
      </c>
      <c r="D24" s="58">
        <v>0</v>
      </c>
      <c r="E24" s="99">
        <v>0.1</v>
      </c>
      <c r="F24" s="58">
        <v>1500</v>
      </c>
      <c r="G24" s="58">
        <v>1500</v>
      </c>
      <c r="H24" s="99">
        <f>G24*100/C24</f>
        <v>75</v>
      </c>
      <c r="I24" s="58">
        <v>500</v>
      </c>
      <c r="J24" s="99">
        <f>I24*100/C24</f>
        <v>25</v>
      </c>
      <c r="K24" s="58">
        <v>1000</v>
      </c>
      <c r="L24" s="99">
        <f>K24*100/F24</f>
        <v>66.666666666666671</v>
      </c>
      <c r="M24" s="98">
        <f>'Weaker Sec_7'!K24</f>
        <v>17</v>
      </c>
      <c r="N24" s="58">
        <v>2000</v>
      </c>
      <c r="O24" s="99">
        <f>N24*100/C24</f>
        <v>100</v>
      </c>
    </row>
    <row r="25" spans="1:15">
      <c r="A25" s="57">
        <v>20</v>
      </c>
      <c r="B25" s="58" t="s">
        <v>210</v>
      </c>
      <c r="C25" s="58">
        <v>1662</v>
      </c>
      <c r="D25" s="58">
        <v>69</v>
      </c>
      <c r="E25" s="99">
        <v>0</v>
      </c>
      <c r="F25" s="58">
        <v>1285</v>
      </c>
      <c r="G25" s="58">
        <v>0</v>
      </c>
      <c r="H25" s="99">
        <f>G25*100/C25</f>
        <v>0</v>
      </c>
      <c r="I25" s="58">
        <v>45</v>
      </c>
      <c r="J25" s="99">
        <f>I25*100/C25</f>
        <v>2.7075812274368229</v>
      </c>
      <c r="K25" s="58">
        <v>330</v>
      </c>
      <c r="L25" s="99">
        <f>K25*100/F25</f>
        <v>25.680933852140079</v>
      </c>
      <c r="M25" s="98">
        <f>'Weaker Sec_7'!K25</f>
        <v>0</v>
      </c>
      <c r="N25" s="58">
        <v>0</v>
      </c>
      <c r="O25" s="99">
        <f>N25*100/C25</f>
        <v>0</v>
      </c>
    </row>
    <row r="26" spans="1:15">
      <c r="A26" s="57">
        <v>21</v>
      </c>
      <c r="B26" s="58" t="s">
        <v>469</v>
      </c>
      <c r="C26" s="58">
        <v>0</v>
      </c>
      <c r="D26" s="58">
        <v>0</v>
      </c>
      <c r="E26" s="99">
        <v>0</v>
      </c>
      <c r="F26" s="58">
        <v>0</v>
      </c>
      <c r="G26" s="58">
        <v>0</v>
      </c>
      <c r="H26" s="99">
        <v>0</v>
      </c>
      <c r="I26" s="58">
        <v>0</v>
      </c>
      <c r="J26" s="99">
        <v>0</v>
      </c>
      <c r="K26" s="58">
        <v>0</v>
      </c>
      <c r="L26" s="99">
        <v>0</v>
      </c>
      <c r="M26" s="98">
        <f>'Weaker Sec_7'!K26</f>
        <v>0</v>
      </c>
      <c r="N26" s="58">
        <v>0</v>
      </c>
      <c r="O26" s="99">
        <v>0</v>
      </c>
    </row>
    <row r="27" spans="1:15">
      <c r="A27" s="57">
        <v>22</v>
      </c>
      <c r="B27" s="58" t="s">
        <v>70</v>
      </c>
      <c r="C27" s="58">
        <v>11480955</v>
      </c>
      <c r="D27" s="58">
        <v>1680625</v>
      </c>
      <c r="E27" s="99">
        <v>845.32</v>
      </c>
      <c r="F27" s="58">
        <v>7244010</v>
      </c>
      <c r="G27" s="58">
        <v>7512839</v>
      </c>
      <c r="H27" s="99">
        <f>G27*100/C27</f>
        <v>65.437404815191769</v>
      </c>
      <c r="I27" s="58">
        <v>4061183</v>
      </c>
      <c r="J27" s="99">
        <f>I27*100/C27</f>
        <v>35.373215904077668</v>
      </c>
      <c r="K27" s="58">
        <v>1043369</v>
      </c>
      <c r="L27" s="99">
        <f>K27*100/F27</f>
        <v>14.403196572064367</v>
      </c>
      <c r="M27" s="98">
        <f>'Weaker Sec_7'!K27</f>
        <v>2497</v>
      </c>
      <c r="N27" s="58">
        <v>2634174</v>
      </c>
      <c r="O27" s="99">
        <f>N27*100/C27</f>
        <v>22.943857893354689</v>
      </c>
    </row>
    <row r="28" spans="1:15">
      <c r="A28" s="57">
        <v>23</v>
      </c>
      <c r="B28" s="58" t="s">
        <v>65</v>
      </c>
      <c r="C28" s="58">
        <v>94472</v>
      </c>
      <c r="D28" s="58">
        <v>14304</v>
      </c>
      <c r="E28" s="99">
        <v>6.74</v>
      </c>
      <c r="F28" s="58">
        <v>78461</v>
      </c>
      <c r="G28" s="58">
        <v>74850</v>
      </c>
      <c r="H28" s="99">
        <f>G28*100/C28</f>
        <v>79.229824709966977</v>
      </c>
      <c r="I28" s="58">
        <v>22868</v>
      </c>
      <c r="J28" s="99">
        <f>I28*100/C28</f>
        <v>24.206113980862053</v>
      </c>
      <c r="K28" s="58">
        <v>41734</v>
      </c>
      <c r="L28" s="99">
        <f>K28*100/F28</f>
        <v>53.190757191470922</v>
      </c>
      <c r="M28" s="98">
        <f>'Weaker Sec_7'!K28</f>
        <v>465</v>
      </c>
      <c r="N28" s="58">
        <v>39062</v>
      </c>
      <c r="O28" s="99">
        <f>N28*100/C28</f>
        <v>41.347700906088576</v>
      </c>
    </row>
    <row r="29" spans="1:15">
      <c r="A29" s="57">
        <v>24</v>
      </c>
      <c r="B29" s="58" t="s">
        <v>212</v>
      </c>
      <c r="C29" s="58">
        <v>622512</v>
      </c>
      <c r="D29" s="58">
        <v>47501</v>
      </c>
      <c r="E29" s="99">
        <v>130.44999999999999</v>
      </c>
      <c r="F29" s="58">
        <v>338928</v>
      </c>
      <c r="G29" s="58">
        <v>252891</v>
      </c>
      <c r="H29" s="99">
        <f>G29*100/C29</f>
        <v>40.624277122368724</v>
      </c>
      <c r="I29" s="58">
        <v>3711</v>
      </c>
      <c r="J29" s="99">
        <f>I29*100/C29</f>
        <v>0.59613308659110187</v>
      </c>
      <c r="K29" s="58">
        <v>338928</v>
      </c>
      <c r="L29" s="99">
        <f>K29*100/F29</f>
        <v>100</v>
      </c>
      <c r="M29" s="98">
        <f>'Weaker Sec_7'!K29</f>
        <v>265</v>
      </c>
      <c r="N29" s="58">
        <v>373507</v>
      </c>
      <c r="O29" s="99">
        <f>N29*100/C29</f>
        <v>59.999967872105273</v>
      </c>
    </row>
    <row r="30" spans="1:15">
      <c r="A30" s="57">
        <v>25</v>
      </c>
      <c r="B30" s="58" t="s">
        <v>66</v>
      </c>
      <c r="C30" s="58">
        <v>726778</v>
      </c>
      <c r="D30" s="58">
        <v>96701</v>
      </c>
      <c r="E30" s="99">
        <v>141.84</v>
      </c>
      <c r="F30" s="58">
        <v>646798</v>
      </c>
      <c r="G30" s="58">
        <v>380721</v>
      </c>
      <c r="H30" s="99">
        <f>G30*100/C30</f>
        <v>52.384772241317158</v>
      </c>
      <c r="I30" s="58">
        <v>121169</v>
      </c>
      <c r="J30" s="99">
        <f>I30*100/C30</f>
        <v>16.672078681523107</v>
      </c>
      <c r="K30" s="58">
        <v>99715</v>
      </c>
      <c r="L30" s="99">
        <f>K30*100/F30</f>
        <v>15.416714337397456</v>
      </c>
      <c r="M30" s="98">
        <f>'Weaker Sec_7'!K30</f>
        <v>1802</v>
      </c>
      <c r="N30" s="58">
        <v>166350</v>
      </c>
      <c r="O30" s="99">
        <f>N30*100/C30</f>
        <v>22.888695034797422</v>
      </c>
    </row>
    <row r="31" spans="1:15">
      <c r="A31" s="57">
        <v>26</v>
      </c>
      <c r="B31" s="58" t="s">
        <v>67</v>
      </c>
      <c r="C31" s="58">
        <v>0</v>
      </c>
      <c r="D31" s="58">
        <v>0</v>
      </c>
      <c r="E31" s="99">
        <v>0</v>
      </c>
      <c r="F31" s="58">
        <v>0</v>
      </c>
      <c r="G31" s="58">
        <v>0</v>
      </c>
      <c r="H31" s="99">
        <v>0</v>
      </c>
      <c r="I31" s="58">
        <v>0</v>
      </c>
      <c r="J31" s="99">
        <v>0</v>
      </c>
      <c r="K31" s="58">
        <v>0</v>
      </c>
      <c r="L31" s="99">
        <v>0</v>
      </c>
      <c r="M31" s="98">
        <f>'Weaker Sec_7'!K31</f>
        <v>0</v>
      </c>
      <c r="N31" s="58">
        <v>0</v>
      </c>
      <c r="O31" s="99">
        <v>0</v>
      </c>
    </row>
    <row r="32" spans="1:15">
      <c r="A32" s="57">
        <v>27</v>
      </c>
      <c r="B32" s="58" t="s">
        <v>50</v>
      </c>
      <c r="C32" s="58">
        <v>92628</v>
      </c>
      <c r="D32" s="58">
        <v>3782</v>
      </c>
      <c r="E32" s="99">
        <v>9.14</v>
      </c>
      <c r="F32" s="58">
        <v>58160</v>
      </c>
      <c r="G32" s="58">
        <v>76980</v>
      </c>
      <c r="H32" s="99">
        <f>G32*100/C32</f>
        <v>83.106620028501098</v>
      </c>
      <c r="I32" s="58">
        <v>5252</v>
      </c>
      <c r="J32" s="99">
        <f>I32*100/C32</f>
        <v>5.6699917951375394</v>
      </c>
      <c r="K32" s="58">
        <v>47472</v>
      </c>
      <c r="L32" s="99">
        <f>K32*100/F32</f>
        <v>81.623108665749655</v>
      </c>
      <c r="M32" s="98">
        <f>'Weaker Sec_7'!K32</f>
        <v>75</v>
      </c>
      <c r="N32" s="58">
        <v>38932</v>
      </c>
      <c r="O32" s="99">
        <f>N32*100/C32</f>
        <v>42.030487541564106</v>
      </c>
    </row>
    <row r="33" spans="1:15" s="389" customFormat="1">
      <c r="A33" s="374"/>
      <c r="B33" s="59" t="s">
        <v>792</v>
      </c>
      <c r="C33" s="59">
        <f>SUM(C6:C32)</f>
        <v>21293329</v>
      </c>
      <c r="D33" s="59">
        <f t="shared" ref="D33:N33" si="4">SUM(D6:D32)</f>
        <v>2405676</v>
      </c>
      <c r="E33" s="96">
        <f t="shared" si="4"/>
        <v>2170.9055140969999</v>
      </c>
      <c r="F33" s="59">
        <f t="shared" si="4"/>
        <v>15143328</v>
      </c>
      <c r="G33" s="59">
        <f t="shared" si="4"/>
        <v>13968780</v>
      </c>
      <c r="H33" s="96">
        <f t="shared" ref="H33:H63" si="5">G33*100/C33</f>
        <v>65.601672711674155</v>
      </c>
      <c r="I33" s="59">
        <f t="shared" si="4"/>
        <v>5847310</v>
      </c>
      <c r="J33" s="96">
        <f t="shared" ref="J33:J63" si="6">I33*100/C33</f>
        <v>27.460760128207291</v>
      </c>
      <c r="K33" s="59">
        <f t="shared" si="4"/>
        <v>5371801</v>
      </c>
      <c r="L33" s="96">
        <f t="shared" ref="L33:L63" si="7">K33*100/F33</f>
        <v>35.473054535964614</v>
      </c>
      <c r="M33" s="105">
        <f>'Weaker Sec_7'!K33</f>
        <v>40961</v>
      </c>
      <c r="N33" s="59">
        <f t="shared" si="4"/>
        <v>7869715</v>
      </c>
      <c r="O33" s="96">
        <f t="shared" ref="O33:O63" si="8">N33*100/C33</f>
        <v>36.958593933339401</v>
      </c>
    </row>
    <row r="34" spans="1:15">
      <c r="A34" s="57">
        <v>28</v>
      </c>
      <c r="B34" s="58" t="s">
        <v>47</v>
      </c>
      <c r="C34" s="58">
        <v>36008</v>
      </c>
      <c r="D34" s="58">
        <v>638</v>
      </c>
      <c r="E34" s="99">
        <v>8.19</v>
      </c>
      <c r="F34" s="58">
        <v>31419</v>
      </c>
      <c r="G34" s="58">
        <v>18500</v>
      </c>
      <c r="H34" s="99">
        <f>G34*100/C34</f>
        <v>51.377471672961562</v>
      </c>
      <c r="I34" s="58">
        <v>14489</v>
      </c>
      <c r="J34" s="99">
        <f>I34*100/C34</f>
        <v>40.238280382137305</v>
      </c>
      <c r="K34" s="58">
        <v>31297</v>
      </c>
      <c r="L34" s="99">
        <f>K34*100/F34</f>
        <v>99.611699926795893</v>
      </c>
      <c r="M34" s="98">
        <f>'Weaker Sec_7'!K34</f>
        <v>0</v>
      </c>
      <c r="N34" s="58">
        <v>34598</v>
      </c>
      <c r="O34" s="99">
        <f>N34*100/C34</f>
        <v>96.084203510331037</v>
      </c>
    </row>
    <row r="35" spans="1:15">
      <c r="A35" s="57">
        <v>29</v>
      </c>
      <c r="B35" s="58" t="s">
        <v>214</v>
      </c>
      <c r="C35" s="58">
        <v>0</v>
      </c>
      <c r="D35" s="58">
        <v>0</v>
      </c>
      <c r="E35" s="99">
        <v>0</v>
      </c>
      <c r="F35" s="58">
        <v>0</v>
      </c>
      <c r="G35" s="58">
        <v>0</v>
      </c>
      <c r="H35" s="99">
        <v>0</v>
      </c>
      <c r="I35" s="58">
        <v>0</v>
      </c>
      <c r="J35" s="99">
        <v>0</v>
      </c>
      <c r="K35" s="58">
        <v>0</v>
      </c>
      <c r="L35" s="99">
        <v>0</v>
      </c>
      <c r="M35" s="98">
        <f>'Weaker Sec_7'!K35</f>
        <v>0</v>
      </c>
      <c r="N35" s="58">
        <v>0</v>
      </c>
      <c r="O35" s="99">
        <v>0</v>
      </c>
    </row>
    <row r="36" spans="1:15">
      <c r="A36" s="57">
        <v>30</v>
      </c>
      <c r="B36" s="58" t="s">
        <v>215</v>
      </c>
      <c r="C36" s="58">
        <v>0</v>
      </c>
      <c r="D36" s="58">
        <v>0</v>
      </c>
      <c r="E36" s="99">
        <v>0</v>
      </c>
      <c r="F36" s="58">
        <v>0</v>
      </c>
      <c r="G36" s="58">
        <v>0</v>
      </c>
      <c r="H36" s="99">
        <v>0</v>
      </c>
      <c r="I36" s="58">
        <v>0</v>
      </c>
      <c r="J36" s="99">
        <v>0</v>
      </c>
      <c r="K36" s="58">
        <v>0</v>
      </c>
      <c r="L36" s="99">
        <v>0</v>
      </c>
      <c r="M36" s="98">
        <f>'Weaker Sec_7'!K36</f>
        <v>0</v>
      </c>
      <c r="N36" s="58">
        <v>0</v>
      </c>
      <c r="O36" s="99">
        <v>0</v>
      </c>
    </row>
    <row r="37" spans="1:15">
      <c r="A37" s="57">
        <v>31</v>
      </c>
      <c r="B37" s="58" t="s">
        <v>78</v>
      </c>
      <c r="C37" s="58">
        <v>0</v>
      </c>
      <c r="D37" s="58">
        <v>0</v>
      </c>
      <c r="E37" s="99">
        <v>0</v>
      </c>
      <c r="F37" s="58">
        <v>0</v>
      </c>
      <c r="G37" s="58">
        <v>0</v>
      </c>
      <c r="H37" s="99">
        <v>0</v>
      </c>
      <c r="I37" s="58">
        <v>0</v>
      </c>
      <c r="J37" s="99">
        <v>0</v>
      </c>
      <c r="K37" s="58">
        <v>0</v>
      </c>
      <c r="L37" s="99">
        <v>0</v>
      </c>
      <c r="M37" s="98">
        <f>'Weaker Sec_7'!K37</f>
        <v>0</v>
      </c>
      <c r="N37" s="58">
        <v>0</v>
      </c>
      <c r="O37" s="99">
        <v>0</v>
      </c>
    </row>
    <row r="38" spans="1:15">
      <c r="A38" s="57">
        <v>32</v>
      </c>
      <c r="B38" s="58" t="s">
        <v>51</v>
      </c>
      <c r="C38" s="58">
        <v>324</v>
      </c>
      <c r="D38" s="58">
        <v>0</v>
      </c>
      <c r="E38" s="99">
        <v>0.02</v>
      </c>
      <c r="F38" s="58">
        <v>218</v>
      </c>
      <c r="G38" s="58">
        <v>231</v>
      </c>
      <c r="H38" s="99">
        <f>G38*100/C38</f>
        <v>71.296296296296291</v>
      </c>
      <c r="I38" s="58">
        <v>116</v>
      </c>
      <c r="J38" s="99">
        <f>I38*100/C38</f>
        <v>35.802469135802468</v>
      </c>
      <c r="K38" s="58">
        <v>153</v>
      </c>
      <c r="L38" s="99">
        <f>K38*100/F38</f>
        <v>70.183486238532112</v>
      </c>
      <c r="M38" s="98">
        <f>'Weaker Sec_7'!K38</f>
        <v>0</v>
      </c>
      <c r="N38" s="58">
        <v>324</v>
      </c>
      <c r="O38" s="99">
        <f>N38*100/C38</f>
        <v>100</v>
      </c>
    </row>
    <row r="39" spans="1:15">
      <c r="A39" s="57">
        <v>33</v>
      </c>
      <c r="B39" s="58" t="s">
        <v>216</v>
      </c>
      <c r="C39" s="58">
        <v>0</v>
      </c>
      <c r="D39" s="58">
        <v>0</v>
      </c>
      <c r="E39" s="99">
        <v>0</v>
      </c>
      <c r="F39" s="58">
        <v>0</v>
      </c>
      <c r="G39" s="58">
        <v>0</v>
      </c>
      <c r="H39" s="99">
        <v>0</v>
      </c>
      <c r="I39" s="58">
        <v>0</v>
      </c>
      <c r="J39" s="99">
        <v>0</v>
      </c>
      <c r="K39" s="58">
        <v>0</v>
      </c>
      <c r="L39" s="99">
        <v>0</v>
      </c>
      <c r="M39" s="98">
        <f>'Weaker Sec_7'!K39</f>
        <v>0</v>
      </c>
      <c r="N39" s="58">
        <v>0</v>
      </c>
      <c r="O39" s="99">
        <v>0</v>
      </c>
    </row>
    <row r="40" spans="1:15">
      <c r="A40" s="57">
        <v>34</v>
      </c>
      <c r="B40" s="58" t="s">
        <v>217</v>
      </c>
      <c r="C40" s="58">
        <v>0</v>
      </c>
      <c r="D40" s="58">
        <v>0</v>
      </c>
      <c r="E40" s="99">
        <v>0</v>
      </c>
      <c r="F40" s="58">
        <v>0</v>
      </c>
      <c r="G40" s="58">
        <v>0</v>
      </c>
      <c r="H40" s="99">
        <v>0</v>
      </c>
      <c r="I40" s="58">
        <v>0</v>
      </c>
      <c r="J40" s="99">
        <v>0</v>
      </c>
      <c r="K40" s="58">
        <v>0</v>
      </c>
      <c r="L40" s="99">
        <v>0</v>
      </c>
      <c r="M40" s="98">
        <f>'Weaker Sec_7'!K40</f>
        <v>0</v>
      </c>
      <c r="N40" s="58">
        <v>0</v>
      </c>
      <c r="O40" s="99">
        <v>0</v>
      </c>
    </row>
    <row r="41" spans="1:15">
      <c r="A41" s="57">
        <v>35</v>
      </c>
      <c r="B41" s="58" t="s">
        <v>218</v>
      </c>
      <c r="C41" s="58">
        <v>0</v>
      </c>
      <c r="D41" s="58">
        <v>0</v>
      </c>
      <c r="E41" s="99">
        <v>0</v>
      </c>
      <c r="F41" s="58">
        <v>0</v>
      </c>
      <c r="G41" s="58">
        <v>0</v>
      </c>
      <c r="H41" s="99">
        <v>0</v>
      </c>
      <c r="I41" s="58">
        <v>0</v>
      </c>
      <c r="J41" s="99">
        <v>0</v>
      </c>
      <c r="K41" s="58">
        <v>0</v>
      </c>
      <c r="L41" s="99">
        <v>0</v>
      </c>
      <c r="M41" s="98">
        <f>'Weaker Sec_7'!K41</f>
        <v>0</v>
      </c>
      <c r="N41" s="58">
        <v>0</v>
      </c>
      <c r="O41" s="99">
        <v>0</v>
      </c>
    </row>
    <row r="42" spans="1:15">
      <c r="A42" s="57">
        <v>36</v>
      </c>
      <c r="B42" s="58" t="s">
        <v>71</v>
      </c>
      <c r="C42" s="58">
        <v>74543</v>
      </c>
      <c r="D42" s="58">
        <v>1954</v>
      </c>
      <c r="E42" s="99">
        <v>9.2200000000000006</v>
      </c>
      <c r="F42" s="58">
        <v>74529</v>
      </c>
      <c r="G42" s="58">
        <v>38043</v>
      </c>
      <c r="H42" s="99">
        <f>G42*100/C42</f>
        <v>51.034973102772895</v>
      </c>
      <c r="I42" s="58">
        <v>24156</v>
      </c>
      <c r="J42" s="99">
        <f>I42*100/C42</f>
        <v>32.405457252860764</v>
      </c>
      <c r="K42" s="58">
        <v>48334</v>
      </c>
      <c r="L42" s="99">
        <f>K42*100/F42</f>
        <v>64.852607709750572</v>
      </c>
      <c r="M42" s="98">
        <f>'Weaker Sec_7'!K42</f>
        <v>0</v>
      </c>
      <c r="N42" s="58">
        <v>66895</v>
      </c>
      <c r="O42" s="99">
        <f>N42*100/C42</f>
        <v>89.740149980548139</v>
      </c>
    </row>
    <row r="43" spans="1:15">
      <c r="A43" s="57">
        <v>37</v>
      </c>
      <c r="B43" s="58" t="s">
        <v>72</v>
      </c>
      <c r="C43" s="58">
        <v>210732</v>
      </c>
      <c r="D43" s="58">
        <v>0</v>
      </c>
      <c r="E43" s="99">
        <v>8.67</v>
      </c>
      <c r="F43" s="58">
        <v>210732</v>
      </c>
      <c r="G43" s="58">
        <v>124265</v>
      </c>
      <c r="H43" s="99">
        <f>G43*100/C43</f>
        <v>58.968263007042118</v>
      </c>
      <c r="I43" s="58">
        <v>128874</v>
      </c>
      <c r="J43" s="99">
        <f>I43*100/C43</f>
        <v>61.155401173053924</v>
      </c>
      <c r="K43" s="58">
        <v>210732</v>
      </c>
      <c r="L43" s="99">
        <f>K43*100/F43</f>
        <v>100</v>
      </c>
      <c r="M43" s="98">
        <f>'Weaker Sec_7'!K43</f>
        <v>36</v>
      </c>
      <c r="N43" s="58">
        <v>83811</v>
      </c>
      <c r="O43" s="99">
        <f>N43*100/C43</f>
        <v>39.771368373099484</v>
      </c>
    </row>
    <row r="44" spans="1:15">
      <c r="A44" s="57">
        <v>38</v>
      </c>
      <c r="B44" s="58" t="s">
        <v>219</v>
      </c>
      <c r="C44" s="58">
        <v>2745</v>
      </c>
      <c r="D44" s="58">
        <v>0</v>
      </c>
      <c r="E44" s="99">
        <v>0.26</v>
      </c>
      <c r="F44" s="58">
        <v>2668</v>
      </c>
      <c r="G44" s="58">
        <v>1639</v>
      </c>
      <c r="H44" s="99">
        <f>G44*100/C44</f>
        <v>59.708561020036427</v>
      </c>
      <c r="I44" s="58">
        <v>961</v>
      </c>
      <c r="J44" s="99">
        <f>I44*100/C44</f>
        <v>35.009107468123858</v>
      </c>
      <c r="K44" s="58">
        <v>1270</v>
      </c>
      <c r="L44" s="99">
        <f>K44*100/F44</f>
        <v>47.601199400299848</v>
      </c>
      <c r="M44" s="98">
        <f>'Weaker Sec_7'!K44</f>
        <v>0</v>
      </c>
      <c r="N44" s="58">
        <v>2706</v>
      </c>
      <c r="O44" s="99">
        <f>N44*100/C44</f>
        <v>98.579234972677597</v>
      </c>
    </row>
    <row r="45" spans="1:15">
      <c r="A45" s="57">
        <v>39</v>
      </c>
      <c r="B45" s="58" t="s">
        <v>220</v>
      </c>
      <c r="C45" s="58">
        <v>0</v>
      </c>
      <c r="D45" s="58">
        <v>0</v>
      </c>
      <c r="E45" s="99">
        <v>0</v>
      </c>
      <c r="F45" s="58">
        <v>0</v>
      </c>
      <c r="G45" s="58">
        <v>0</v>
      </c>
      <c r="H45" s="99">
        <v>0</v>
      </c>
      <c r="I45" s="58">
        <v>0</v>
      </c>
      <c r="J45" s="99">
        <v>0</v>
      </c>
      <c r="K45" s="58">
        <v>0</v>
      </c>
      <c r="L45" s="99">
        <v>0</v>
      </c>
      <c r="M45" s="98">
        <f>'Weaker Sec_7'!K45</f>
        <v>0</v>
      </c>
      <c r="N45" s="58">
        <v>0</v>
      </c>
      <c r="O45" s="99">
        <v>0</v>
      </c>
    </row>
    <row r="46" spans="1:15">
      <c r="A46" s="57">
        <v>40</v>
      </c>
      <c r="B46" s="58" t="s">
        <v>221</v>
      </c>
      <c r="C46" s="58">
        <v>0</v>
      </c>
      <c r="D46" s="58">
        <v>0</v>
      </c>
      <c r="E46" s="99">
        <v>0</v>
      </c>
      <c r="F46" s="58">
        <v>0</v>
      </c>
      <c r="G46" s="58">
        <v>0</v>
      </c>
      <c r="H46" s="99">
        <v>0</v>
      </c>
      <c r="I46" s="58">
        <v>0</v>
      </c>
      <c r="J46" s="99">
        <v>0</v>
      </c>
      <c r="K46" s="58">
        <v>0</v>
      </c>
      <c r="L46" s="99">
        <v>0</v>
      </c>
      <c r="M46" s="98">
        <f>'Weaker Sec_7'!K46</f>
        <v>0</v>
      </c>
      <c r="N46" s="58">
        <v>0</v>
      </c>
      <c r="O46" s="99">
        <v>0</v>
      </c>
    </row>
    <row r="47" spans="1:15">
      <c r="A47" s="57">
        <v>41</v>
      </c>
      <c r="B47" s="58" t="s">
        <v>222</v>
      </c>
      <c r="C47" s="58">
        <v>1691</v>
      </c>
      <c r="D47" s="58">
        <v>0</v>
      </c>
      <c r="E47" s="99">
        <v>0.02</v>
      </c>
      <c r="F47" s="58">
        <v>684</v>
      </c>
      <c r="G47" s="58">
        <v>641</v>
      </c>
      <c r="H47" s="99">
        <f>G47*100/C47</f>
        <v>37.906564163217034</v>
      </c>
      <c r="I47" s="58">
        <v>0</v>
      </c>
      <c r="J47" s="99">
        <f>I47*100/C47</f>
        <v>0</v>
      </c>
      <c r="K47" s="58">
        <v>684</v>
      </c>
      <c r="L47" s="99">
        <f>K47*100/F47</f>
        <v>100</v>
      </c>
      <c r="M47" s="98">
        <f>'Weaker Sec_7'!K47</f>
        <v>0</v>
      </c>
      <c r="N47" s="58">
        <v>725</v>
      </c>
      <c r="O47" s="99">
        <f>N47*100/C47</f>
        <v>42.874039030159672</v>
      </c>
    </row>
    <row r="48" spans="1:15">
      <c r="A48" s="57">
        <v>42</v>
      </c>
      <c r="B48" s="58" t="s">
        <v>223</v>
      </c>
      <c r="C48" s="58">
        <v>0</v>
      </c>
      <c r="D48" s="58">
        <v>0</v>
      </c>
      <c r="E48" s="99">
        <v>0</v>
      </c>
      <c r="F48" s="58">
        <v>0</v>
      </c>
      <c r="G48" s="58">
        <v>0</v>
      </c>
      <c r="H48" s="99">
        <v>0</v>
      </c>
      <c r="I48" s="58">
        <v>0</v>
      </c>
      <c r="J48" s="99">
        <v>0</v>
      </c>
      <c r="K48" s="58">
        <v>0</v>
      </c>
      <c r="L48" s="99">
        <v>0</v>
      </c>
      <c r="M48" s="98">
        <f>'Weaker Sec_7'!K48</f>
        <v>0</v>
      </c>
      <c r="N48" s="58">
        <v>0</v>
      </c>
      <c r="O48" s="99">
        <v>0</v>
      </c>
    </row>
    <row r="49" spans="1:15">
      <c r="A49" s="57">
        <v>43</v>
      </c>
      <c r="B49" s="58" t="s">
        <v>73</v>
      </c>
      <c r="C49" s="58">
        <v>0</v>
      </c>
      <c r="D49" s="58">
        <v>0</v>
      </c>
      <c r="E49" s="99">
        <v>0</v>
      </c>
      <c r="F49" s="58">
        <v>0</v>
      </c>
      <c r="G49" s="58">
        <v>0</v>
      </c>
      <c r="H49" s="99">
        <v>0</v>
      </c>
      <c r="I49" s="58">
        <v>0</v>
      </c>
      <c r="J49" s="99">
        <v>0</v>
      </c>
      <c r="K49" s="58">
        <v>0</v>
      </c>
      <c r="L49" s="99">
        <v>0</v>
      </c>
      <c r="M49" s="98">
        <f>'Weaker Sec_7'!K49</f>
        <v>0</v>
      </c>
      <c r="N49" s="58">
        <v>0</v>
      </c>
      <c r="O49" s="99">
        <v>0</v>
      </c>
    </row>
    <row r="50" spans="1:15">
      <c r="A50" s="57">
        <v>44</v>
      </c>
      <c r="B50" s="58" t="s">
        <v>224</v>
      </c>
      <c r="C50" s="58">
        <v>212</v>
      </c>
      <c r="D50" s="58">
        <v>0</v>
      </c>
      <c r="E50" s="99">
        <v>0.06</v>
      </c>
      <c r="F50" s="58">
        <v>185</v>
      </c>
      <c r="G50" s="58">
        <v>160</v>
      </c>
      <c r="H50" s="99">
        <f>G50*100/C50</f>
        <v>75.471698113207552</v>
      </c>
      <c r="I50" s="58">
        <v>80</v>
      </c>
      <c r="J50" s="99">
        <f>I50*100/C50</f>
        <v>37.735849056603776</v>
      </c>
      <c r="K50" s="58">
        <v>185</v>
      </c>
      <c r="L50" s="99">
        <f>K50*100/F50</f>
        <v>100</v>
      </c>
      <c r="M50" s="98">
        <f>'Weaker Sec_7'!K50</f>
        <v>0</v>
      </c>
      <c r="N50" s="58">
        <v>206</v>
      </c>
      <c r="O50" s="99">
        <f>N50*100/C50</f>
        <v>97.169811320754718</v>
      </c>
    </row>
    <row r="51" spans="1:15">
      <c r="A51" s="57">
        <v>45</v>
      </c>
      <c r="B51" s="58" t="s">
        <v>225</v>
      </c>
      <c r="C51" s="58">
        <v>18230</v>
      </c>
      <c r="D51" s="58">
        <v>0</v>
      </c>
      <c r="E51" s="99">
        <v>0.1</v>
      </c>
      <c r="F51" s="58">
        <v>18230</v>
      </c>
      <c r="G51" s="58">
        <v>8312</v>
      </c>
      <c r="H51" s="99">
        <f>G51*100/C51</f>
        <v>45.595172792100932</v>
      </c>
      <c r="I51" s="58">
        <v>17218</v>
      </c>
      <c r="J51" s="99">
        <f>I51*100/C51</f>
        <v>94.448710916072415</v>
      </c>
      <c r="K51" s="58">
        <v>17</v>
      </c>
      <c r="L51" s="99">
        <f>K51*100/F51</f>
        <v>9.3252879868348876E-2</v>
      </c>
      <c r="M51" s="98">
        <f>'Weaker Sec_7'!K51</f>
        <v>0</v>
      </c>
      <c r="N51" s="58">
        <v>17385</v>
      </c>
      <c r="O51" s="99">
        <f>N51*100/C51</f>
        <v>95.364783324190896</v>
      </c>
    </row>
    <row r="52" spans="1:15">
      <c r="A52" s="57">
        <v>46</v>
      </c>
      <c r="B52" s="58" t="s">
        <v>226</v>
      </c>
      <c r="C52" s="58">
        <v>45</v>
      </c>
      <c r="D52" s="58">
        <v>5</v>
      </c>
      <c r="E52" s="99">
        <v>0.04</v>
      </c>
      <c r="F52" s="58">
        <v>45</v>
      </c>
      <c r="G52" s="58">
        <v>45</v>
      </c>
      <c r="H52" s="99">
        <f>G52*100/C52</f>
        <v>100</v>
      </c>
      <c r="I52" s="58">
        <v>0</v>
      </c>
      <c r="J52" s="99">
        <f>I52*100/C52</f>
        <v>0</v>
      </c>
      <c r="K52" s="58">
        <v>45</v>
      </c>
      <c r="L52" s="99">
        <f>K52*100/F52</f>
        <v>100</v>
      </c>
      <c r="M52" s="98">
        <f>'Weaker Sec_7'!K52</f>
        <v>0</v>
      </c>
      <c r="N52" s="58">
        <v>45</v>
      </c>
      <c r="O52" s="99">
        <f>N52*100/C52</f>
        <v>100</v>
      </c>
    </row>
    <row r="53" spans="1:15">
      <c r="A53" s="57">
        <v>47</v>
      </c>
      <c r="B53" s="58" t="s">
        <v>77</v>
      </c>
      <c r="C53" s="58">
        <v>0</v>
      </c>
      <c r="D53" s="58">
        <v>0</v>
      </c>
      <c r="E53" s="99">
        <v>0</v>
      </c>
      <c r="F53" s="58">
        <v>0</v>
      </c>
      <c r="G53" s="58">
        <v>0</v>
      </c>
      <c r="H53" s="99">
        <v>0</v>
      </c>
      <c r="I53" s="58">
        <v>0</v>
      </c>
      <c r="J53" s="99">
        <v>0</v>
      </c>
      <c r="K53" s="58">
        <v>0</v>
      </c>
      <c r="L53" s="99">
        <v>0</v>
      </c>
      <c r="M53" s="98">
        <f>'Weaker Sec_7'!K53</f>
        <v>0</v>
      </c>
      <c r="N53" s="58">
        <v>0</v>
      </c>
      <c r="O53" s="99">
        <v>0</v>
      </c>
    </row>
    <row r="54" spans="1:15">
      <c r="A54" s="57">
        <v>48</v>
      </c>
      <c r="B54" s="58" t="s">
        <v>227</v>
      </c>
      <c r="C54" s="58">
        <v>0</v>
      </c>
      <c r="D54" s="58">
        <v>0</v>
      </c>
      <c r="E54" s="99">
        <v>0</v>
      </c>
      <c r="F54" s="58">
        <v>0</v>
      </c>
      <c r="G54" s="58">
        <v>0</v>
      </c>
      <c r="H54" s="99">
        <v>0</v>
      </c>
      <c r="I54" s="58">
        <v>0</v>
      </c>
      <c r="J54" s="99">
        <v>0</v>
      </c>
      <c r="K54" s="58">
        <v>0</v>
      </c>
      <c r="L54" s="99">
        <v>0</v>
      </c>
      <c r="M54" s="98">
        <f>'Weaker Sec_7'!K54</f>
        <v>0</v>
      </c>
      <c r="N54" s="58">
        <v>0</v>
      </c>
      <c r="O54" s="99">
        <v>0</v>
      </c>
    </row>
    <row r="55" spans="1:15">
      <c r="A55" s="57">
        <v>49</v>
      </c>
      <c r="B55" s="58" t="s">
        <v>76</v>
      </c>
      <c r="C55" s="58">
        <v>0</v>
      </c>
      <c r="D55" s="58">
        <v>0</v>
      </c>
      <c r="E55" s="99">
        <v>0</v>
      </c>
      <c r="F55" s="58">
        <v>0</v>
      </c>
      <c r="G55" s="58">
        <v>0</v>
      </c>
      <c r="H55" s="99">
        <v>0</v>
      </c>
      <c r="I55" s="58">
        <v>0</v>
      </c>
      <c r="J55" s="99">
        <v>0</v>
      </c>
      <c r="K55" s="58">
        <v>0</v>
      </c>
      <c r="L55" s="99">
        <v>0</v>
      </c>
      <c r="M55" s="98">
        <f>'Weaker Sec_7'!K55</f>
        <v>0</v>
      </c>
      <c r="N55" s="58">
        <v>0</v>
      </c>
      <c r="O55" s="99">
        <v>0</v>
      </c>
    </row>
    <row r="56" spans="1:15" s="389" customFormat="1">
      <c r="A56" s="374" t="s">
        <v>345</v>
      </c>
      <c r="B56" s="59" t="s">
        <v>793</v>
      </c>
      <c r="C56" s="59">
        <f>SUM(C34:C55)</f>
        <v>344530</v>
      </c>
      <c r="D56" s="59">
        <f t="shared" ref="D56:N56" si="9">SUM(D34:D55)</f>
        <v>2597</v>
      </c>
      <c r="E56" s="96">
        <f t="shared" si="9"/>
        <v>26.580000000000002</v>
      </c>
      <c r="F56" s="59">
        <f t="shared" si="9"/>
        <v>338710</v>
      </c>
      <c r="G56" s="59">
        <f t="shared" si="9"/>
        <v>191836</v>
      </c>
      <c r="H56" s="96">
        <f t="shared" si="5"/>
        <v>55.680492264824544</v>
      </c>
      <c r="I56" s="59">
        <f t="shared" si="9"/>
        <v>185894</v>
      </c>
      <c r="J56" s="96">
        <f t="shared" si="6"/>
        <v>53.955823876004992</v>
      </c>
      <c r="K56" s="59">
        <f t="shared" si="9"/>
        <v>292717</v>
      </c>
      <c r="L56" s="96">
        <f t="shared" si="7"/>
        <v>86.421127217974075</v>
      </c>
      <c r="M56" s="105">
        <f>SUM(M34:M55)</f>
        <v>36</v>
      </c>
      <c r="N56" s="59">
        <f t="shared" si="9"/>
        <v>206695</v>
      </c>
      <c r="O56" s="96">
        <f t="shared" si="8"/>
        <v>59.993324238818097</v>
      </c>
    </row>
    <row r="57" spans="1:15">
      <c r="A57" s="57">
        <v>50</v>
      </c>
      <c r="B57" s="58" t="s">
        <v>46</v>
      </c>
      <c r="C57" s="58">
        <v>993676</v>
      </c>
      <c r="D57" s="58">
        <v>5749</v>
      </c>
      <c r="E57" s="99">
        <v>359.51</v>
      </c>
      <c r="F57" s="58">
        <v>831351</v>
      </c>
      <c r="G57" s="58">
        <v>763093</v>
      </c>
      <c r="H57" s="99">
        <f t="shared" si="5"/>
        <v>76.794951271843132</v>
      </c>
      <c r="I57" s="58">
        <v>65410</v>
      </c>
      <c r="J57" s="99">
        <f t="shared" si="6"/>
        <v>6.5826285429053337</v>
      </c>
      <c r="K57" s="58">
        <v>423660</v>
      </c>
      <c r="L57" s="99">
        <f t="shared" si="7"/>
        <v>50.960424658176869</v>
      </c>
      <c r="M57" s="98">
        <f>'Weaker Sec_7'!K57</f>
        <v>1366</v>
      </c>
      <c r="N57" s="58">
        <v>174904</v>
      </c>
      <c r="O57" s="99">
        <f t="shared" si="8"/>
        <v>17.601713234494945</v>
      </c>
    </row>
    <row r="58" spans="1:15">
      <c r="A58" s="57">
        <v>51</v>
      </c>
      <c r="B58" s="58" t="s">
        <v>228</v>
      </c>
      <c r="C58" s="58">
        <v>784206</v>
      </c>
      <c r="D58" s="58">
        <v>547</v>
      </c>
      <c r="E58" s="99">
        <v>109.45</v>
      </c>
      <c r="F58" s="58">
        <v>504592</v>
      </c>
      <c r="G58" s="58">
        <v>502938</v>
      </c>
      <c r="H58" s="99">
        <f t="shared" si="5"/>
        <v>64.133403723001351</v>
      </c>
      <c r="I58" s="58">
        <v>333141</v>
      </c>
      <c r="J58" s="99">
        <f t="shared" si="6"/>
        <v>42.481312308245535</v>
      </c>
      <c r="K58" s="58">
        <v>15285</v>
      </c>
      <c r="L58" s="99">
        <f t="shared" si="7"/>
        <v>3.0291800107809874</v>
      </c>
      <c r="M58" s="98">
        <f>'Weaker Sec_7'!K58</f>
        <v>0</v>
      </c>
      <c r="N58" s="58">
        <v>145623</v>
      </c>
      <c r="O58" s="99">
        <f t="shared" si="8"/>
        <v>18.569483018492591</v>
      </c>
    </row>
    <row r="59" spans="1:15">
      <c r="A59" s="57">
        <v>52</v>
      </c>
      <c r="B59" s="58" t="s">
        <v>52</v>
      </c>
      <c r="C59" s="58">
        <v>1442970</v>
      </c>
      <c r="D59" s="58">
        <v>135205</v>
      </c>
      <c r="E59" s="99">
        <v>166.29</v>
      </c>
      <c r="F59" s="58">
        <v>1147184</v>
      </c>
      <c r="G59" s="58">
        <v>600333</v>
      </c>
      <c r="H59" s="99">
        <f t="shared" si="5"/>
        <v>41.60398345079939</v>
      </c>
      <c r="I59" s="58">
        <v>347318</v>
      </c>
      <c r="J59" s="99">
        <f t="shared" si="6"/>
        <v>24.069661877932319</v>
      </c>
      <c r="K59" s="58">
        <v>86522</v>
      </c>
      <c r="L59" s="99">
        <f t="shared" si="7"/>
        <v>7.5421205316671083</v>
      </c>
      <c r="M59" s="98">
        <f>'Weaker Sec_7'!K59</f>
        <v>0</v>
      </c>
      <c r="N59" s="58">
        <v>87282</v>
      </c>
      <c r="O59" s="99">
        <f t="shared" si="8"/>
        <v>6.0487744027942369</v>
      </c>
    </row>
    <row r="60" spans="1:15" s="389" customFormat="1">
      <c r="A60" s="374" t="s">
        <v>345</v>
      </c>
      <c r="B60" s="59" t="s">
        <v>794</v>
      </c>
      <c r="C60" s="59">
        <f>SUM(C57:C59)</f>
        <v>3220852</v>
      </c>
      <c r="D60" s="59">
        <f t="shared" ref="D60:N60" si="10">SUM(D57:D59)</f>
        <v>141501</v>
      </c>
      <c r="E60" s="96">
        <f t="shared" si="10"/>
        <v>635.25</v>
      </c>
      <c r="F60" s="59">
        <f t="shared" si="10"/>
        <v>2483127</v>
      </c>
      <c r="G60" s="59">
        <f t="shared" si="10"/>
        <v>1866364</v>
      </c>
      <c r="H60" s="96">
        <f t="shared" si="5"/>
        <v>57.946282536422039</v>
      </c>
      <c r="I60" s="59">
        <f t="shared" si="10"/>
        <v>745869</v>
      </c>
      <c r="J60" s="96">
        <f t="shared" si="6"/>
        <v>23.157506150546503</v>
      </c>
      <c r="K60" s="59">
        <f t="shared" si="10"/>
        <v>525467</v>
      </c>
      <c r="L60" s="96">
        <f t="shared" si="7"/>
        <v>21.161503217515655</v>
      </c>
      <c r="M60" s="105">
        <f>SUM(M57:M59)</f>
        <v>1366</v>
      </c>
      <c r="N60" s="59">
        <f t="shared" si="10"/>
        <v>407809</v>
      </c>
      <c r="O60" s="96">
        <f t="shared" si="8"/>
        <v>12.661525583913821</v>
      </c>
    </row>
    <row r="61" spans="1:15">
      <c r="A61" s="57">
        <v>53</v>
      </c>
      <c r="B61" s="58" t="s">
        <v>288</v>
      </c>
      <c r="C61" s="58">
        <v>0</v>
      </c>
      <c r="D61" s="58">
        <v>0</v>
      </c>
      <c r="E61" s="99">
        <v>0</v>
      </c>
      <c r="F61" s="58">
        <v>0</v>
      </c>
      <c r="G61" s="58">
        <v>0</v>
      </c>
      <c r="H61" s="99">
        <v>0</v>
      </c>
      <c r="I61" s="58">
        <v>0</v>
      </c>
      <c r="J61" s="99">
        <v>0</v>
      </c>
      <c r="K61" s="58">
        <v>0</v>
      </c>
      <c r="L61" s="99">
        <v>0</v>
      </c>
      <c r="M61" s="98">
        <f>'Weaker Sec_7'!K61</f>
        <v>0</v>
      </c>
      <c r="N61" s="58">
        <v>0</v>
      </c>
      <c r="O61" s="99">
        <v>0</v>
      </c>
    </row>
    <row r="62" spans="1:15" s="389" customFormat="1">
      <c r="A62" s="374" t="s">
        <v>345</v>
      </c>
      <c r="B62" s="59" t="s">
        <v>795</v>
      </c>
      <c r="C62" s="59">
        <f>SUM(C61:C61)</f>
        <v>0</v>
      </c>
      <c r="D62" s="59">
        <f>SUM(D61:D61)</f>
        <v>0</v>
      </c>
      <c r="E62" s="96">
        <f>SUM(E61:E61)</f>
        <v>0</v>
      </c>
      <c r="F62" s="59">
        <f>SUM(F61:F61)</f>
        <v>0</v>
      </c>
      <c r="G62" s="59">
        <f>SUM(G61:G61)</f>
        <v>0</v>
      </c>
      <c r="H62" s="96">
        <v>0</v>
      </c>
      <c r="I62" s="59">
        <f>SUM(I61:I61)</f>
        <v>0</v>
      </c>
      <c r="J62" s="96">
        <v>0</v>
      </c>
      <c r="K62" s="59">
        <f>SUM(K61:K61)</f>
        <v>0</v>
      </c>
      <c r="L62" s="96">
        <v>0</v>
      </c>
      <c r="M62" s="98">
        <f>'Weaker Sec_7'!K62</f>
        <v>0</v>
      </c>
      <c r="N62" s="59">
        <f>SUM(N61:N61)</f>
        <v>0</v>
      </c>
      <c r="O62" s="96">
        <v>0</v>
      </c>
    </row>
    <row r="63" spans="1:15" s="389" customFormat="1">
      <c r="A63" s="374" t="s">
        <v>345</v>
      </c>
      <c r="B63" s="59" t="s">
        <v>290</v>
      </c>
      <c r="C63" s="59">
        <f>C62+C60+C56+C33</f>
        <v>24858711</v>
      </c>
      <c r="D63" s="59">
        <f>D62+D60+D56+D33</f>
        <v>2549774</v>
      </c>
      <c r="E63" s="96">
        <f>E62+E60+E56+E33</f>
        <v>2832.7355140969999</v>
      </c>
      <c r="F63" s="59">
        <f>F62+F60+F56+F33</f>
        <v>17965165</v>
      </c>
      <c r="G63" s="59">
        <f>G62+G60+G56+G33</f>
        <v>16026980</v>
      </c>
      <c r="H63" s="96">
        <f t="shared" si="5"/>
        <v>64.472289009675521</v>
      </c>
      <c r="I63" s="59">
        <f>I62+I60+I56+I33</f>
        <v>6779073</v>
      </c>
      <c r="J63" s="96">
        <f t="shared" si="6"/>
        <v>27.270412371743653</v>
      </c>
      <c r="K63" s="59">
        <f>K62+K60+K56+K33</f>
        <v>6189985</v>
      </c>
      <c r="L63" s="96">
        <f t="shared" si="7"/>
        <v>34.455486492887765</v>
      </c>
      <c r="M63" s="105">
        <f>M62+M60+M56+M33</f>
        <v>42363</v>
      </c>
      <c r="N63" s="59">
        <f>N62+N60+N56+N33</f>
        <v>8484219</v>
      </c>
      <c r="O63" s="96">
        <f t="shared" si="8"/>
        <v>34.129762399989282</v>
      </c>
    </row>
    <row r="64" spans="1:15">
      <c r="A64" s="385"/>
      <c r="E64" s="385"/>
      <c r="H64" s="385"/>
      <c r="J64" s="385"/>
      <c r="L64" s="385"/>
    </row>
  </sheetData>
  <sortState ref="B35:O56">
    <sortCondition ref="B35:B56"/>
  </sortState>
  <mergeCells count="3">
    <mergeCell ref="A2:O2"/>
    <mergeCell ref="L3:O3"/>
    <mergeCell ref="A1:O1"/>
  </mergeCells>
  <pageMargins left="0.3" right="0.2" top="1" bottom="0.25" header="0.3" footer="0.3"/>
  <pageSetup paperSize="9" scale="6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13" sqref="L13"/>
    </sheetView>
  </sheetViews>
  <sheetFormatPr defaultRowHeight="15"/>
  <cols>
    <col min="1" max="1" width="4.5703125" style="535" customWidth="1"/>
    <col min="2" max="2" width="32.5703125" style="528" bestFit="1" customWidth="1"/>
    <col min="3" max="3" width="10.7109375" style="528" customWidth="1"/>
    <col min="4" max="4" width="9.5703125" style="528" customWidth="1"/>
    <col min="5" max="6" width="9.28515625" style="528" bestFit="1" customWidth="1"/>
    <col min="7" max="7" width="15.42578125" style="527" hidden="1" customWidth="1"/>
    <col min="8" max="16384" width="9.140625" style="528"/>
  </cols>
  <sheetData>
    <row r="1" spans="1:7" ht="15.75">
      <c r="A1" s="765" t="s">
        <v>1167</v>
      </c>
      <c r="B1" s="765"/>
      <c r="C1" s="765"/>
      <c r="D1" s="765"/>
      <c r="E1" s="765"/>
      <c r="F1" s="765"/>
    </row>
    <row r="3" spans="1:7" s="532" customFormat="1" ht="14.25">
      <c r="A3" s="529" t="s">
        <v>1123</v>
      </c>
      <c r="B3" s="530" t="s">
        <v>468</v>
      </c>
      <c r="C3" s="529" t="s">
        <v>1168</v>
      </c>
      <c r="D3" s="529" t="s">
        <v>1169</v>
      </c>
      <c r="E3" s="529" t="s">
        <v>1170</v>
      </c>
      <c r="F3" s="529" t="s">
        <v>0</v>
      </c>
      <c r="G3" s="531" t="s">
        <v>1171</v>
      </c>
    </row>
    <row r="4" spans="1:7">
      <c r="A4" s="533">
        <v>1</v>
      </c>
      <c r="B4" s="1" t="s">
        <v>55</v>
      </c>
      <c r="C4" s="1">
        <v>44792</v>
      </c>
      <c r="D4" s="1">
        <v>206831</v>
      </c>
      <c r="E4" s="1">
        <v>8808</v>
      </c>
      <c r="F4" s="1">
        <f>C4+D4+E4</f>
        <v>260431</v>
      </c>
      <c r="G4" s="534" t="s">
        <v>1172</v>
      </c>
    </row>
    <row r="5" spans="1:7">
      <c r="A5" s="533">
        <v>2</v>
      </c>
      <c r="B5" s="1" t="s">
        <v>56</v>
      </c>
      <c r="C5" s="1">
        <v>6878</v>
      </c>
      <c r="D5" s="1">
        <v>31684</v>
      </c>
      <c r="E5" s="1">
        <v>3330</v>
      </c>
      <c r="F5" s="1">
        <f t="shared" ref="F5:F62" si="0">C5+D5+E5</f>
        <v>41892</v>
      </c>
      <c r="G5" s="534" t="s">
        <v>1173</v>
      </c>
    </row>
    <row r="6" spans="1:7">
      <c r="A6" s="533">
        <v>3</v>
      </c>
      <c r="B6" s="1" t="s">
        <v>57</v>
      </c>
      <c r="C6" s="1">
        <v>60884</v>
      </c>
      <c r="D6" s="1">
        <v>162801</v>
      </c>
      <c r="E6" s="1">
        <v>2730</v>
      </c>
      <c r="F6" s="1">
        <f t="shared" si="0"/>
        <v>226415</v>
      </c>
      <c r="G6" s="534" t="s">
        <v>1174</v>
      </c>
    </row>
    <row r="7" spans="1:7">
      <c r="A7" s="533">
        <v>4</v>
      </c>
      <c r="B7" s="1" t="s">
        <v>58</v>
      </c>
      <c r="C7" s="1">
        <v>198562</v>
      </c>
      <c r="D7" s="1">
        <v>698568</v>
      </c>
      <c r="E7" s="1">
        <v>16895</v>
      </c>
      <c r="F7" s="1">
        <f t="shared" si="0"/>
        <v>914025</v>
      </c>
      <c r="G7" s="534" t="s">
        <v>1173</v>
      </c>
    </row>
    <row r="8" spans="1:7">
      <c r="A8" s="533">
        <v>5</v>
      </c>
      <c r="B8" s="1" t="s">
        <v>59</v>
      </c>
      <c r="C8" s="1">
        <v>106448</v>
      </c>
      <c r="D8" s="1">
        <v>254830</v>
      </c>
      <c r="E8" s="1">
        <v>3025</v>
      </c>
      <c r="F8" s="1">
        <f t="shared" si="0"/>
        <v>364303</v>
      </c>
      <c r="G8" s="534" t="s">
        <v>1175</v>
      </c>
    </row>
    <row r="9" spans="1:7">
      <c r="A9" s="533">
        <v>6</v>
      </c>
      <c r="B9" s="1" t="s">
        <v>241</v>
      </c>
      <c r="C9" s="1">
        <v>1415</v>
      </c>
      <c r="D9" s="1">
        <v>3047</v>
      </c>
      <c r="E9" s="1">
        <v>105</v>
      </c>
      <c r="F9" s="1">
        <f t="shared" si="0"/>
        <v>4567</v>
      </c>
      <c r="G9" s="534" t="s">
        <v>1176</v>
      </c>
    </row>
    <row r="10" spans="1:7">
      <c r="A10" s="533">
        <v>7</v>
      </c>
      <c r="B10" s="1" t="s">
        <v>60</v>
      </c>
      <c r="C10" s="1">
        <v>37996</v>
      </c>
      <c r="D10" s="1">
        <v>88683</v>
      </c>
      <c r="E10" s="1">
        <v>2394</v>
      </c>
      <c r="F10" s="1">
        <f t="shared" si="0"/>
        <v>129073</v>
      </c>
      <c r="G10" s="534" t="s">
        <v>1177</v>
      </c>
    </row>
    <row r="11" spans="1:7">
      <c r="A11" s="533">
        <v>8</v>
      </c>
      <c r="B11" s="1" t="s">
        <v>61</v>
      </c>
      <c r="C11" s="1">
        <v>227196</v>
      </c>
      <c r="D11" s="1">
        <v>738243</v>
      </c>
      <c r="E11" s="1">
        <v>21560</v>
      </c>
      <c r="F11" s="1">
        <f t="shared" si="0"/>
        <v>986999</v>
      </c>
      <c r="G11" s="534" t="s">
        <v>1178</v>
      </c>
    </row>
    <row r="12" spans="1:7">
      <c r="A12" s="533">
        <v>9</v>
      </c>
      <c r="B12" s="1" t="s">
        <v>48</v>
      </c>
      <c r="C12" s="1">
        <v>16899</v>
      </c>
      <c r="D12" s="1">
        <v>62006</v>
      </c>
      <c r="E12" s="1">
        <v>587</v>
      </c>
      <c r="F12" s="1">
        <f t="shared" si="0"/>
        <v>79492</v>
      </c>
      <c r="G12" s="534" t="s">
        <v>1179</v>
      </c>
    </row>
    <row r="13" spans="1:7">
      <c r="A13" s="533">
        <v>10</v>
      </c>
      <c r="B13" s="1" t="s">
        <v>49</v>
      </c>
      <c r="C13" s="1">
        <v>19891</v>
      </c>
      <c r="D13" s="1">
        <v>69133</v>
      </c>
      <c r="E13" s="1">
        <v>1448</v>
      </c>
      <c r="F13" s="1">
        <f t="shared" si="0"/>
        <v>90472</v>
      </c>
      <c r="G13" s="534" t="s">
        <v>1180</v>
      </c>
    </row>
    <row r="14" spans="1:7">
      <c r="A14" s="533">
        <v>11</v>
      </c>
      <c r="B14" s="1" t="s">
        <v>81</v>
      </c>
      <c r="C14" s="1">
        <v>19525</v>
      </c>
      <c r="D14" s="1">
        <v>47185</v>
      </c>
      <c r="E14" s="1">
        <v>177</v>
      </c>
      <c r="F14" s="1">
        <f t="shared" si="0"/>
        <v>66887</v>
      </c>
      <c r="G14" s="534" t="s">
        <v>1173</v>
      </c>
    </row>
    <row r="15" spans="1:7">
      <c r="A15" s="533">
        <v>12</v>
      </c>
      <c r="B15" s="1" t="s">
        <v>62</v>
      </c>
      <c r="C15" s="1">
        <v>5265</v>
      </c>
      <c r="D15" s="1">
        <v>14666</v>
      </c>
      <c r="E15" s="1">
        <v>1032</v>
      </c>
      <c r="F15" s="1">
        <f t="shared" si="0"/>
        <v>20963</v>
      </c>
      <c r="G15" s="534" t="s">
        <v>1181</v>
      </c>
    </row>
    <row r="16" spans="1:7">
      <c r="A16" s="533">
        <v>13</v>
      </c>
      <c r="B16" s="1" t="s">
        <v>63</v>
      </c>
      <c r="C16" s="1">
        <v>10559</v>
      </c>
      <c r="D16" s="1">
        <v>35839</v>
      </c>
      <c r="E16" s="1">
        <v>895</v>
      </c>
      <c r="F16" s="1">
        <f t="shared" si="0"/>
        <v>47293</v>
      </c>
      <c r="G16" s="534" t="s">
        <v>1173</v>
      </c>
    </row>
    <row r="17" spans="1:7">
      <c r="A17" s="533">
        <v>14</v>
      </c>
      <c r="B17" s="1" t="s">
        <v>206</v>
      </c>
      <c r="C17" s="1">
        <v>296</v>
      </c>
      <c r="D17" s="1">
        <v>711</v>
      </c>
      <c r="E17" s="1">
        <v>163</v>
      </c>
      <c r="F17" s="1">
        <f t="shared" si="0"/>
        <v>1170</v>
      </c>
      <c r="G17" s="534" t="s">
        <v>1181</v>
      </c>
    </row>
    <row r="18" spans="1:7">
      <c r="A18" s="533">
        <v>15</v>
      </c>
      <c r="B18" s="1" t="s">
        <v>207</v>
      </c>
      <c r="C18" s="1">
        <v>7805</v>
      </c>
      <c r="D18" s="1">
        <v>22211</v>
      </c>
      <c r="E18" s="1">
        <v>899</v>
      </c>
      <c r="F18" s="1">
        <f t="shared" si="0"/>
        <v>30915</v>
      </c>
      <c r="G18" s="534" t="s">
        <v>1182</v>
      </c>
    </row>
    <row r="19" spans="1:7">
      <c r="A19" s="533">
        <v>16</v>
      </c>
      <c r="B19" s="1" t="s">
        <v>64</v>
      </c>
      <c r="C19" s="1">
        <v>65251</v>
      </c>
      <c r="D19" s="1">
        <v>461726</v>
      </c>
      <c r="E19" s="1">
        <v>11331</v>
      </c>
      <c r="F19" s="1">
        <f t="shared" si="0"/>
        <v>538308</v>
      </c>
      <c r="G19" s="534" t="s">
        <v>1173</v>
      </c>
    </row>
    <row r="20" spans="1:7">
      <c r="A20" s="533">
        <v>17</v>
      </c>
      <c r="B20" s="1" t="s">
        <v>69</v>
      </c>
      <c r="C20" s="1">
        <v>496</v>
      </c>
      <c r="D20" s="1">
        <v>3053</v>
      </c>
      <c r="E20" s="1">
        <v>102</v>
      </c>
      <c r="F20" s="1">
        <f t="shared" si="0"/>
        <v>3651</v>
      </c>
      <c r="G20" s="534" t="s">
        <v>1183</v>
      </c>
    </row>
    <row r="21" spans="1:7">
      <c r="A21" s="533">
        <v>18</v>
      </c>
      <c r="B21" s="1" t="s">
        <v>208</v>
      </c>
      <c r="C21" s="1">
        <v>0</v>
      </c>
      <c r="D21" s="1">
        <v>0</v>
      </c>
      <c r="E21" s="1">
        <v>0</v>
      </c>
      <c r="F21" s="1">
        <f t="shared" si="0"/>
        <v>0</v>
      </c>
      <c r="G21" s="534"/>
    </row>
    <row r="22" spans="1:7">
      <c r="A22" s="533">
        <v>19</v>
      </c>
      <c r="B22" s="1" t="s">
        <v>209</v>
      </c>
      <c r="C22" s="1">
        <v>2500</v>
      </c>
      <c r="D22" s="1">
        <v>500</v>
      </c>
      <c r="E22" s="1">
        <v>100</v>
      </c>
      <c r="F22" s="1">
        <f t="shared" si="0"/>
        <v>3100</v>
      </c>
      <c r="G22" s="534" t="s">
        <v>1184</v>
      </c>
    </row>
    <row r="23" spans="1:7">
      <c r="A23" s="533">
        <v>20</v>
      </c>
      <c r="B23" s="1" t="s">
        <v>210</v>
      </c>
      <c r="C23" s="1">
        <v>152</v>
      </c>
      <c r="D23" s="1">
        <v>320</v>
      </c>
      <c r="E23" s="1">
        <v>20</v>
      </c>
      <c r="F23" s="1">
        <f t="shared" si="0"/>
        <v>492</v>
      </c>
      <c r="G23" s="534" t="s">
        <v>1182</v>
      </c>
    </row>
    <row r="24" spans="1:7">
      <c r="A24" s="533">
        <v>21</v>
      </c>
      <c r="B24" s="1" t="s">
        <v>469</v>
      </c>
      <c r="C24" s="1">
        <v>0</v>
      </c>
      <c r="D24" s="1">
        <v>0</v>
      </c>
      <c r="E24" s="1">
        <v>0</v>
      </c>
      <c r="F24" s="1">
        <f t="shared" si="0"/>
        <v>0</v>
      </c>
      <c r="G24" s="534"/>
    </row>
    <row r="25" spans="1:7">
      <c r="A25" s="533">
        <v>22</v>
      </c>
      <c r="B25" s="1" t="s">
        <v>70</v>
      </c>
      <c r="C25" s="1">
        <v>298535</v>
      </c>
      <c r="D25" s="1">
        <v>1601631</v>
      </c>
      <c r="E25" s="1">
        <v>22077</v>
      </c>
      <c r="F25" s="1">
        <f t="shared" si="0"/>
        <v>1922243</v>
      </c>
      <c r="G25" s="534" t="s">
        <v>1173</v>
      </c>
    </row>
    <row r="26" spans="1:7">
      <c r="A26" s="533">
        <v>23</v>
      </c>
      <c r="B26" s="1" t="s">
        <v>65</v>
      </c>
      <c r="C26" s="1">
        <v>493</v>
      </c>
      <c r="D26" s="1">
        <v>1285</v>
      </c>
      <c r="E26" s="1">
        <v>1576</v>
      </c>
      <c r="F26" s="1">
        <f t="shared" si="0"/>
        <v>3354</v>
      </c>
      <c r="G26" s="534" t="s">
        <v>1185</v>
      </c>
    </row>
    <row r="27" spans="1:7">
      <c r="A27" s="533">
        <v>24</v>
      </c>
      <c r="B27" s="1" t="s">
        <v>212</v>
      </c>
      <c r="C27" s="1">
        <v>50847</v>
      </c>
      <c r="D27" s="1">
        <v>137931</v>
      </c>
      <c r="E27" s="1">
        <v>2067</v>
      </c>
      <c r="F27" s="1">
        <f t="shared" si="0"/>
        <v>190845</v>
      </c>
      <c r="G27" s="534" t="s">
        <v>1186</v>
      </c>
    </row>
    <row r="28" spans="1:7">
      <c r="A28" s="533">
        <v>25</v>
      </c>
      <c r="B28" s="1" t="s">
        <v>66</v>
      </c>
      <c r="C28" s="1">
        <v>96002</v>
      </c>
      <c r="D28" s="1">
        <v>334947</v>
      </c>
      <c r="E28" s="1">
        <v>5274</v>
      </c>
      <c r="F28" s="1">
        <f t="shared" si="0"/>
        <v>436223</v>
      </c>
      <c r="G28" s="534" t="s">
        <v>1187</v>
      </c>
    </row>
    <row r="29" spans="1:7">
      <c r="A29" s="533">
        <v>26</v>
      </c>
      <c r="B29" s="1" t="s">
        <v>67</v>
      </c>
      <c r="C29" s="1">
        <v>0</v>
      </c>
      <c r="D29" s="1">
        <v>0</v>
      </c>
      <c r="E29" s="1">
        <v>0</v>
      </c>
      <c r="F29" s="1">
        <f t="shared" si="0"/>
        <v>0</v>
      </c>
      <c r="G29" s="534"/>
    </row>
    <row r="30" spans="1:7">
      <c r="A30" s="533">
        <v>27</v>
      </c>
      <c r="B30" s="1" t="s">
        <v>50</v>
      </c>
      <c r="C30" s="1">
        <v>152</v>
      </c>
      <c r="D30" s="1">
        <v>303</v>
      </c>
      <c r="E30" s="1">
        <v>1337</v>
      </c>
      <c r="F30" s="1">
        <f t="shared" si="0"/>
        <v>1792</v>
      </c>
      <c r="G30" s="534" t="s">
        <v>1173</v>
      </c>
    </row>
    <row r="31" spans="1:7" s="532" customFormat="1" ht="14.25">
      <c r="A31" s="529" t="s">
        <v>345</v>
      </c>
      <c r="B31" s="530" t="s">
        <v>1188</v>
      </c>
      <c r="C31" s="530">
        <f>SUM(C4:C30)</f>
        <v>1278839</v>
      </c>
      <c r="D31" s="530">
        <f t="shared" ref="D31:F31" si="1">SUM(D4:D30)</f>
        <v>4978134</v>
      </c>
      <c r="E31" s="530">
        <f t="shared" si="1"/>
        <v>107932</v>
      </c>
      <c r="F31" s="530">
        <f t="shared" si="1"/>
        <v>6364905</v>
      </c>
      <c r="G31" s="531" t="s">
        <v>345</v>
      </c>
    </row>
    <row r="32" spans="1:7">
      <c r="A32" s="533">
        <v>28</v>
      </c>
      <c r="B32" s="1" t="s">
        <v>47</v>
      </c>
      <c r="C32" s="1">
        <v>7201</v>
      </c>
      <c r="D32" s="1">
        <v>20433</v>
      </c>
      <c r="E32" s="1">
        <v>3424</v>
      </c>
      <c r="F32" s="1">
        <f t="shared" si="0"/>
        <v>31058</v>
      </c>
      <c r="G32" s="534" t="s">
        <v>1173</v>
      </c>
    </row>
    <row r="33" spans="1:7">
      <c r="A33" s="533">
        <v>29</v>
      </c>
      <c r="B33" s="1" t="s">
        <v>214</v>
      </c>
      <c r="C33" s="1">
        <v>0</v>
      </c>
      <c r="D33" s="1">
        <v>0</v>
      </c>
      <c r="E33" s="1">
        <v>0</v>
      </c>
      <c r="F33" s="1">
        <f t="shared" si="0"/>
        <v>0</v>
      </c>
      <c r="G33" s="534"/>
    </row>
    <row r="34" spans="1:7">
      <c r="A34" s="533">
        <v>30</v>
      </c>
      <c r="B34" s="1" t="s">
        <v>215</v>
      </c>
      <c r="C34" s="1">
        <v>0</v>
      </c>
      <c r="D34" s="1">
        <v>0</v>
      </c>
      <c r="E34" s="1">
        <v>0</v>
      </c>
      <c r="F34" s="1">
        <f t="shared" si="0"/>
        <v>0</v>
      </c>
      <c r="G34" s="534"/>
    </row>
    <row r="35" spans="1:7">
      <c r="A35" s="533">
        <v>31</v>
      </c>
      <c r="B35" s="1" t="s">
        <v>78</v>
      </c>
      <c r="C35" s="1">
        <v>0</v>
      </c>
      <c r="D35" s="1">
        <v>0</v>
      </c>
      <c r="E35" s="1">
        <v>0</v>
      </c>
      <c r="F35" s="1">
        <f t="shared" si="0"/>
        <v>0</v>
      </c>
      <c r="G35" s="534"/>
    </row>
    <row r="36" spans="1:7">
      <c r="A36" s="533">
        <v>32</v>
      </c>
      <c r="B36" s="1" t="s">
        <v>51</v>
      </c>
      <c r="C36" s="1">
        <v>208</v>
      </c>
      <c r="D36" s="1">
        <v>398</v>
      </c>
      <c r="E36" s="1">
        <v>0</v>
      </c>
      <c r="F36" s="1">
        <f t="shared" si="0"/>
        <v>606</v>
      </c>
      <c r="G36" s="534" t="s">
        <v>1176</v>
      </c>
    </row>
    <row r="37" spans="1:7">
      <c r="A37" s="533">
        <v>33</v>
      </c>
      <c r="B37" s="1" t="s">
        <v>216</v>
      </c>
      <c r="C37" s="1">
        <v>0</v>
      </c>
      <c r="D37" s="1">
        <v>0</v>
      </c>
      <c r="E37" s="1">
        <v>0</v>
      </c>
      <c r="F37" s="1">
        <f t="shared" si="0"/>
        <v>0</v>
      </c>
      <c r="G37" s="534"/>
    </row>
    <row r="38" spans="1:7">
      <c r="A38" s="533">
        <v>34</v>
      </c>
      <c r="B38" s="1" t="s">
        <v>217</v>
      </c>
      <c r="C38" s="1">
        <v>0</v>
      </c>
      <c r="D38" s="1">
        <v>0</v>
      </c>
      <c r="E38" s="1">
        <v>0</v>
      </c>
      <c r="F38" s="1">
        <f t="shared" si="0"/>
        <v>0</v>
      </c>
      <c r="G38" s="534"/>
    </row>
    <row r="39" spans="1:7">
      <c r="A39" s="533">
        <v>35</v>
      </c>
      <c r="B39" s="1" t="s">
        <v>218</v>
      </c>
      <c r="C39" s="1">
        <v>0</v>
      </c>
      <c r="D39" s="1">
        <v>0</v>
      </c>
      <c r="E39" s="1">
        <v>0</v>
      </c>
      <c r="F39" s="1">
        <f t="shared" si="0"/>
        <v>0</v>
      </c>
      <c r="G39" s="534"/>
    </row>
    <row r="40" spans="1:7">
      <c r="A40" s="533">
        <v>36</v>
      </c>
      <c r="B40" s="1" t="s">
        <v>71</v>
      </c>
      <c r="C40" s="1">
        <v>31469</v>
      </c>
      <c r="D40" s="1">
        <v>66971</v>
      </c>
      <c r="E40" s="1">
        <v>3112</v>
      </c>
      <c r="F40" s="1">
        <f t="shared" si="0"/>
        <v>101552</v>
      </c>
      <c r="G40" s="534" t="s">
        <v>1189</v>
      </c>
    </row>
    <row r="41" spans="1:7">
      <c r="A41" s="533">
        <v>37</v>
      </c>
      <c r="B41" s="1" t="s">
        <v>72</v>
      </c>
      <c r="C41" s="1">
        <v>20844</v>
      </c>
      <c r="D41" s="1">
        <v>65686</v>
      </c>
      <c r="E41" s="1">
        <v>13973</v>
      </c>
      <c r="F41" s="1">
        <f t="shared" si="0"/>
        <v>100503</v>
      </c>
      <c r="G41" s="534" t="s">
        <v>1190</v>
      </c>
    </row>
    <row r="42" spans="1:7">
      <c r="A42" s="533">
        <v>38</v>
      </c>
      <c r="B42" s="1" t="s">
        <v>219</v>
      </c>
      <c r="C42" s="1">
        <v>1019</v>
      </c>
      <c r="D42" s="1">
        <v>6146</v>
      </c>
      <c r="E42" s="1">
        <v>0</v>
      </c>
      <c r="F42" s="1">
        <f t="shared" si="0"/>
        <v>7165</v>
      </c>
      <c r="G42" s="534" t="s">
        <v>1191</v>
      </c>
    </row>
    <row r="43" spans="1:7">
      <c r="A43" s="533">
        <v>39</v>
      </c>
      <c r="B43" s="1" t="s">
        <v>220</v>
      </c>
      <c r="C43" s="1">
        <v>0</v>
      </c>
      <c r="D43" s="1">
        <v>0</v>
      </c>
      <c r="E43" s="1">
        <v>0</v>
      </c>
      <c r="F43" s="1">
        <f t="shared" si="0"/>
        <v>0</v>
      </c>
      <c r="G43" s="534"/>
    </row>
    <row r="44" spans="1:7">
      <c r="A44" s="533">
        <v>40</v>
      </c>
      <c r="B44" s="1" t="s">
        <v>221</v>
      </c>
      <c r="C44" s="1">
        <v>0</v>
      </c>
      <c r="D44" s="1">
        <v>0</v>
      </c>
      <c r="E44" s="1">
        <v>0</v>
      </c>
      <c r="F44" s="1">
        <f t="shared" si="0"/>
        <v>0</v>
      </c>
      <c r="G44" s="534"/>
    </row>
    <row r="45" spans="1:7">
      <c r="A45" s="533">
        <v>41</v>
      </c>
      <c r="B45" s="1" t="s">
        <v>222</v>
      </c>
      <c r="C45" s="1">
        <v>462</v>
      </c>
      <c r="D45" s="1">
        <v>525</v>
      </c>
      <c r="E45" s="1">
        <v>75</v>
      </c>
      <c r="F45" s="1">
        <f t="shared" si="0"/>
        <v>1062</v>
      </c>
      <c r="G45" s="534" t="s">
        <v>1176</v>
      </c>
    </row>
    <row r="46" spans="1:7">
      <c r="A46" s="533">
        <v>42</v>
      </c>
      <c r="B46" s="1" t="s">
        <v>223</v>
      </c>
      <c r="C46" s="1">
        <v>0</v>
      </c>
      <c r="D46" s="1">
        <v>0</v>
      </c>
      <c r="E46" s="1">
        <v>0</v>
      </c>
      <c r="F46" s="1">
        <f t="shared" si="0"/>
        <v>0</v>
      </c>
      <c r="G46" s="534"/>
    </row>
    <row r="47" spans="1:7">
      <c r="A47" s="533">
        <v>43</v>
      </c>
      <c r="B47" s="1" t="s">
        <v>73</v>
      </c>
      <c r="C47" s="1">
        <v>0</v>
      </c>
      <c r="D47" s="1">
        <v>0</v>
      </c>
      <c r="E47" s="1">
        <v>0</v>
      </c>
      <c r="F47" s="1">
        <f t="shared" si="0"/>
        <v>0</v>
      </c>
      <c r="G47" s="534"/>
    </row>
    <row r="48" spans="1:7">
      <c r="A48" s="533">
        <v>44</v>
      </c>
      <c r="B48" s="1" t="s">
        <v>224</v>
      </c>
      <c r="C48" s="1">
        <v>56</v>
      </c>
      <c r="D48" s="1">
        <v>12</v>
      </c>
      <c r="E48" s="1">
        <v>0</v>
      </c>
      <c r="F48" s="1">
        <f t="shared" si="0"/>
        <v>68</v>
      </c>
      <c r="G48" s="534" t="s">
        <v>1192</v>
      </c>
    </row>
    <row r="49" spans="1:7">
      <c r="A49" s="533">
        <v>45</v>
      </c>
      <c r="B49" s="1" t="s">
        <v>225</v>
      </c>
      <c r="C49" s="1">
        <v>301</v>
      </c>
      <c r="D49" s="1">
        <v>626</v>
      </c>
      <c r="E49" s="1">
        <v>7</v>
      </c>
      <c r="F49" s="1">
        <f t="shared" si="0"/>
        <v>934</v>
      </c>
      <c r="G49" s="534" t="s">
        <v>1193</v>
      </c>
    </row>
    <row r="50" spans="1:7">
      <c r="A50" s="533">
        <v>46</v>
      </c>
      <c r="B50" s="1" t="s">
        <v>226</v>
      </c>
      <c r="C50" s="1">
        <v>250</v>
      </c>
      <c r="D50" s="1">
        <v>220</v>
      </c>
      <c r="E50" s="1">
        <v>55</v>
      </c>
      <c r="F50" s="1">
        <f t="shared" si="0"/>
        <v>525</v>
      </c>
      <c r="G50" s="534" t="s">
        <v>1194</v>
      </c>
    </row>
    <row r="51" spans="1:7">
      <c r="A51" s="533">
        <v>47</v>
      </c>
      <c r="B51" s="1" t="s">
        <v>77</v>
      </c>
      <c r="C51" s="1">
        <v>0</v>
      </c>
      <c r="D51" s="1">
        <v>0</v>
      </c>
      <c r="E51" s="1">
        <v>0</v>
      </c>
      <c r="F51" s="1">
        <f t="shared" si="0"/>
        <v>0</v>
      </c>
      <c r="G51" s="534"/>
    </row>
    <row r="52" spans="1:7">
      <c r="A52" s="533">
        <v>48</v>
      </c>
      <c r="B52" s="1" t="s">
        <v>227</v>
      </c>
      <c r="C52" s="1">
        <v>0</v>
      </c>
      <c r="D52" s="1">
        <v>0</v>
      </c>
      <c r="E52" s="1">
        <v>0</v>
      </c>
      <c r="F52" s="1">
        <f t="shared" si="0"/>
        <v>0</v>
      </c>
      <c r="G52" s="534"/>
    </row>
    <row r="53" spans="1:7">
      <c r="A53" s="533">
        <v>49</v>
      </c>
      <c r="B53" s="1" t="s">
        <v>76</v>
      </c>
      <c r="C53" s="1">
        <v>0</v>
      </c>
      <c r="D53" s="1">
        <v>0</v>
      </c>
      <c r="E53" s="1">
        <v>0</v>
      </c>
      <c r="F53" s="1">
        <f t="shared" si="0"/>
        <v>0</v>
      </c>
      <c r="G53" s="534"/>
    </row>
    <row r="54" spans="1:7" s="532" customFormat="1" ht="14.25">
      <c r="A54" s="529" t="s">
        <v>345</v>
      </c>
      <c r="B54" s="530" t="s">
        <v>1195</v>
      </c>
      <c r="C54" s="530">
        <f>SUM(C32:C53)</f>
        <v>61810</v>
      </c>
      <c r="D54" s="530">
        <f t="shared" ref="D54:F54" si="2">SUM(D32:D53)</f>
        <v>161017</v>
      </c>
      <c r="E54" s="530">
        <f t="shared" si="2"/>
        <v>20646</v>
      </c>
      <c r="F54" s="530">
        <f t="shared" si="2"/>
        <v>243473</v>
      </c>
      <c r="G54" s="531" t="s">
        <v>345</v>
      </c>
    </row>
    <row r="55" spans="1:7">
      <c r="A55" s="533">
        <v>50</v>
      </c>
      <c r="B55" s="1" t="s">
        <v>46</v>
      </c>
      <c r="C55" s="1">
        <v>4110</v>
      </c>
      <c r="D55" s="1">
        <v>15790</v>
      </c>
      <c r="E55" s="1">
        <v>14150</v>
      </c>
      <c r="F55" s="1">
        <f t="shared" si="0"/>
        <v>34050</v>
      </c>
      <c r="G55" s="534" t="s">
        <v>1185</v>
      </c>
    </row>
    <row r="56" spans="1:7">
      <c r="A56" s="533">
        <v>51</v>
      </c>
      <c r="B56" s="1" t="s">
        <v>228</v>
      </c>
      <c r="C56" s="1">
        <v>34153</v>
      </c>
      <c r="D56" s="1">
        <v>428109</v>
      </c>
      <c r="E56" s="1">
        <v>16418</v>
      </c>
      <c r="F56" s="1">
        <f t="shared" si="0"/>
        <v>478680</v>
      </c>
      <c r="G56" s="534" t="s">
        <v>1177</v>
      </c>
    </row>
    <row r="57" spans="1:7">
      <c r="A57" s="533">
        <v>52</v>
      </c>
      <c r="B57" s="1" t="s">
        <v>52</v>
      </c>
      <c r="C57" s="1">
        <v>68116</v>
      </c>
      <c r="D57" s="1">
        <v>408414</v>
      </c>
      <c r="E57" s="1">
        <v>38235</v>
      </c>
      <c r="F57" s="1">
        <f t="shared" si="0"/>
        <v>514765</v>
      </c>
      <c r="G57" s="534" t="s">
        <v>1196</v>
      </c>
    </row>
    <row r="58" spans="1:7" s="532" customFormat="1" ht="14.25">
      <c r="A58" s="529" t="s">
        <v>345</v>
      </c>
      <c r="B58" s="530" t="s">
        <v>1197</v>
      </c>
      <c r="C58" s="530">
        <f>SUM(C55:C57)</f>
        <v>106379</v>
      </c>
      <c r="D58" s="530">
        <f t="shared" ref="D58:F58" si="3">SUM(D55:D57)</f>
        <v>852313</v>
      </c>
      <c r="E58" s="530">
        <f t="shared" si="3"/>
        <v>68803</v>
      </c>
      <c r="F58" s="530">
        <f t="shared" si="3"/>
        <v>1027495</v>
      </c>
      <c r="G58" s="531" t="s">
        <v>345</v>
      </c>
    </row>
    <row r="59" spans="1:7">
      <c r="A59" s="533">
        <v>53</v>
      </c>
      <c r="B59" s="1" t="s">
        <v>1198</v>
      </c>
      <c r="C59" s="1">
        <v>0</v>
      </c>
      <c r="D59" s="1">
        <v>0</v>
      </c>
      <c r="E59" s="1">
        <v>0</v>
      </c>
      <c r="F59" s="1">
        <f t="shared" si="0"/>
        <v>0</v>
      </c>
      <c r="G59" s="534"/>
    </row>
    <row r="60" spans="1:7">
      <c r="A60" s="533">
        <v>54</v>
      </c>
      <c r="B60" s="1" t="s">
        <v>288</v>
      </c>
      <c r="C60" s="1">
        <v>105008</v>
      </c>
      <c r="D60" s="1">
        <v>605423</v>
      </c>
      <c r="E60" s="1">
        <v>2071</v>
      </c>
      <c r="F60" s="1">
        <f t="shared" si="0"/>
        <v>712502</v>
      </c>
      <c r="G60" s="534" t="s">
        <v>1199</v>
      </c>
    </row>
    <row r="61" spans="1:7">
      <c r="A61" s="533">
        <v>55</v>
      </c>
      <c r="B61" s="1" t="s">
        <v>1200</v>
      </c>
      <c r="C61" s="1">
        <v>0</v>
      </c>
      <c r="D61" s="1">
        <v>0</v>
      </c>
      <c r="E61" s="1">
        <v>0</v>
      </c>
      <c r="F61" s="1">
        <f t="shared" si="0"/>
        <v>0</v>
      </c>
      <c r="G61" s="534"/>
    </row>
    <row r="62" spans="1:7">
      <c r="A62" s="533">
        <v>56</v>
      </c>
      <c r="B62" s="1" t="s">
        <v>1201</v>
      </c>
      <c r="C62" s="1">
        <v>0</v>
      </c>
      <c r="D62" s="1">
        <v>0</v>
      </c>
      <c r="E62" s="1">
        <v>0</v>
      </c>
      <c r="F62" s="1">
        <f t="shared" si="0"/>
        <v>0</v>
      </c>
      <c r="G62" s="534"/>
    </row>
    <row r="63" spans="1:7" s="532" customFormat="1" ht="14.25">
      <c r="A63" s="529" t="s">
        <v>345</v>
      </c>
      <c r="B63" s="530" t="s">
        <v>1202</v>
      </c>
      <c r="C63" s="530">
        <f>SUM(C59:C62)</f>
        <v>105008</v>
      </c>
      <c r="D63" s="530">
        <f t="shared" ref="D63:F63" si="4">SUM(D59:D62)</f>
        <v>605423</v>
      </c>
      <c r="E63" s="530">
        <f t="shared" si="4"/>
        <v>2071</v>
      </c>
      <c r="F63" s="530">
        <f t="shared" si="4"/>
        <v>712502</v>
      </c>
      <c r="G63" s="531" t="s">
        <v>345</v>
      </c>
    </row>
    <row r="64" spans="1:7" s="532" customFormat="1" ht="14.25">
      <c r="A64" s="529" t="s">
        <v>345</v>
      </c>
      <c r="B64" s="530" t="s">
        <v>290</v>
      </c>
      <c r="C64" s="530">
        <f>C63+C58+C54+C31</f>
        <v>1552036</v>
      </c>
      <c r="D64" s="530">
        <f t="shared" ref="D64:F64" si="5">D63+D58+D54+D31</f>
        <v>6596887</v>
      </c>
      <c r="E64" s="530">
        <f t="shared" si="5"/>
        <v>199452</v>
      </c>
      <c r="F64" s="530">
        <f t="shared" si="5"/>
        <v>8348375</v>
      </c>
      <c r="G64" s="531" t="s">
        <v>345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55"/>
  <sheetViews>
    <sheetView view="pageBreakPreview" zoomScale="60" zoomScaleNormal="100"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G52" sqref="G52"/>
    </sheetView>
  </sheetViews>
  <sheetFormatPr defaultRowHeight="12.75"/>
  <cols>
    <col min="1" max="1" width="7.5703125" style="8" customWidth="1"/>
    <col min="2" max="2" width="28.28515625" style="7" customWidth="1"/>
    <col min="3" max="3" width="15.5703125" style="25" customWidth="1"/>
    <col min="4" max="4" width="17.42578125" style="25" customWidth="1"/>
    <col min="5" max="5" width="11.5703125" style="25" hidden="1" customWidth="1"/>
    <col min="6" max="6" width="12.28515625" style="360" customWidth="1"/>
    <col min="7" max="16384" width="9.140625" style="7"/>
  </cols>
  <sheetData>
    <row r="1" spans="1:8" ht="12.75" customHeight="1">
      <c r="A1" s="589" t="s">
        <v>755</v>
      </c>
      <c r="B1" s="589"/>
      <c r="C1" s="589"/>
      <c r="D1" s="589"/>
      <c r="E1" s="589"/>
      <c r="F1" s="589"/>
    </row>
    <row r="2" spans="1:8" ht="14.25">
      <c r="A2" s="571" t="s">
        <v>176</v>
      </c>
      <c r="B2" s="571"/>
      <c r="C2" s="571"/>
      <c r="D2" s="571"/>
      <c r="E2" s="571"/>
      <c r="F2" s="571"/>
    </row>
    <row r="3" spans="1:8" ht="14.25" customHeight="1">
      <c r="A3" s="31"/>
      <c r="B3" s="29" t="s">
        <v>12</v>
      </c>
      <c r="C3" s="6"/>
      <c r="D3" s="6"/>
      <c r="E3" s="6"/>
      <c r="F3" s="34" t="s">
        <v>175</v>
      </c>
    </row>
    <row r="4" spans="1:8" s="3" customFormat="1" ht="24.95" customHeight="1">
      <c r="A4" s="43" t="s">
        <v>284</v>
      </c>
      <c r="B4" s="43" t="s">
        <v>177</v>
      </c>
      <c r="C4" s="44" t="s">
        <v>14</v>
      </c>
      <c r="D4" s="45" t="s">
        <v>9</v>
      </c>
      <c r="E4" s="46"/>
      <c r="F4" s="359" t="s">
        <v>10</v>
      </c>
    </row>
    <row r="5" spans="1:8" s="3" customFormat="1" ht="15" customHeight="1">
      <c r="A5" s="363">
        <v>1</v>
      </c>
      <c r="B5" s="58" t="s">
        <v>300</v>
      </c>
      <c r="C5" s="364">
        <v>74351</v>
      </c>
      <c r="D5" s="364">
        <v>120960</v>
      </c>
      <c r="E5" s="365">
        <f t="shared" ref="E5:E36" si="0">D5*100/C5</f>
        <v>162.68779169076407</v>
      </c>
      <c r="F5" s="47">
        <f>D5*100/C5</f>
        <v>162.68779169076407</v>
      </c>
    </row>
    <row r="6" spans="1:8" ht="15">
      <c r="A6" s="363">
        <v>2</v>
      </c>
      <c r="B6" s="58" t="s">
        <v>301</v>
      </c>
      <c r="C6" s="364">
        <v>98653</v>
      </c>
      <c r="D6" s="364">
        <v>42452</v>
      </c>
      <c r="E6" s="365">
        <f t="shared" si="0"/>
        <v>43.031636138789494</v>
      </c>
      <c r="F6" s="47">
        <f t="shared" ref="F6:F55" si="1">D6*100/C6</f>
        <v>43.031636138789494</v>
      </c>
      <c r="G6" s="3"/>
      <c r="H6" s="3"/>
    </row>
    <row r="7" spans="1:8" ht="15">
      <c r="A7" s="363">
        <v>3</v>
      </c>
      <c r="B7" s="233" t="s">
        <v>302</v>
      </c>
      <c r="C7" s="364">
        <v>295322</v>
      </c>
      <c r="D7" s="364">
        <v>587183</v>
      </c>
      <c r="E7" s="365">
        <f t="shared" si="0"/>
        <v>198.8280588645614</v>
      </c>
      <c r="F7" s="47">
        <f t="shared" si="1"/>
        <v>198.8280588645614</v>
      </c>
      <c r="G7" s="3"/>
      <c r="H7" s="3"/>
    </row>
    <row r="8" spans="1:8" ht="15">
      <c r="A8" s="363">
        <v>4</v>
      </c>
      <c r="B8" s="58" t="s">
        <v>303</v>
      </c>
      <c r="C8" s="364">
        <v>152447</v>
      </c>
      <c r="D8" s="364">
        <v>152473</v>
      </c>
      <c r="E8" s="365">
        <f t="shared" si="0"/>
        <v>100.01705510767677</v>
      </c>
      <c r="F8" s="47">
        <f t="shared" si="1"/>
        <v>100.01705510767677</v>
      </c>
      <c r="G8" s="3"/>
      <c r="H8" s="3"/>
    </row>
    <row r="9" spans="1:8" ht="15">
      <c r="A9" s="363">
        <v>5</v>
      </c>
      <c r="B9" s="58" t="s">
        <v>278</v>
      </c>
      <c r="C9" s="364">
        <v>310826</v>
      </c>
      <c r="D9" s="364">
        <v>132953</v>
      </c>
      <c r="E9" s="365">
        <f t="shared" si="0"/>
        <v>42.774092257404462</v>
      </c>
      <c r="F9" s="47">
        <f t="shared" si="1"/>
        <v>42.774092257404462</v>
      </c>
      <c r="G9" s="3"/>
      <c r="H9" s="3"/>
    </row>
    <row r="10" spans="1:8" ht="15">
      <c r="A10" s="363">
        <v>6</v>
      </c>
      <c r="B10" s="58" t="s">
        <v>279</v>
      </c>
      <c r="C10" s="364">
        <v>249863.04000000001</v>
      </c>
      <c r="D10" s="364">
        <v>279976.26</v>
      </c>
      <c r="E10" s="365">
        <f t="shared" si="0"/>
        <v>112.05189050769573</v>
      </c>
      <c r="F10" s="47">
        <f t="shared" si="1"/>
        <v>112.05189050769573</v>
      </c>
      <c r="G10" s="3"/>
      <c r="H10" s="3"/>
    </row>
    <row r="11" spans="1:8" ht="15">
      <c r="A11" s="363">
        <v>7</v>
      </c>
      <c r="B11" s="58" t="s">
        <v>304</v>
      </c>
      <c r="C11" s="364">
        <v>486527</v>
      </c>
      <c r="D11" s="364">
        <v>226753</v>
      </c>
      <c r="E11" s="365">
        <f t="shared" si="0"/>
        <v>46.606457606669309</v>
      </c>
      <c r="F11" s="47">
        <f t="shared" si="1"/>
        <v>46.606457606669309</v>
      </c>
      <c r="G11" s="3"/>
      <c r="H11" s="3"/>
    </row>
    <row r="12" spans="1:8" ht="15">
      <c r="A12" s="363">
        <v>8</v>
      </c>
      <c r="B12" s="58" t="s">
        <v>305</v>
      </c>
      <c r="C12" s="364">
        <v>322590</v>
      </c>
      <c r="D12" s="364">
        <v>139176</v>
      </c>
      <c r="E12" s="365">
        <f t="shared" si="0"/>
        <v>43.143308844043524</v>
      </c>
      <c r="F12" s="47">
        <f t="shared" si="1"/>
        <v>43.143308844043524</v>
      </c>
      <c r="G12" s="3"/>
      <c r="H12" s="3"/>
    </row>
    <row r="13" spans="1:8" ht="15">
      <c r="A13" s="363">
        <v>9</v>
      </c>
      <c r="B13" s="58" t="s">
        <v>306</v>
      </c>
      <c r="C13" s="364">
        <v>6450147</v>
      </c>
      <c r="D13" s="364">
        <v>3611823</v>
      </c>
      <c r="E13" s="365">
        <f t="shared" si="0"/>
        <v>55.995979626510838</v>
      </c>
      <c r="F13" s="47">
        <f t="shared" si="1"/>
        <v>55.995979626510838</v>
      </c>
      <c r="G13" s="3"/>
      <c r="H13" s="3"/>
    </row>
    <row r="14" spans="1:8" ht="15">
      <c r="A14" s="363">
        <v>10</v>
      </c>
      <c r="B14" s="58" t="s">
        <v>307</v>
      </c>
      <c r="C14" s="364">
        <v>238862</v>
      </c>
      <c r="D14" s="364">
        <v>205491</v>
      </c>
      <c r="E14" s="365">
        <f t="shared" si="0"/>
        <v>86.029171655600308</v>
      </c>
      <c r="F14" s="47">
        <f t="shared" si="1"/>
        <v>86.029171655600308</v>
      </c>
      <c r="G14" s="3"/>
      <c r="H14" s="3"/>
    </row>
    <row r="15" spans="1:8" ht="15">
      <c r="A15" s="363">
        <v>11</v>
      </c>
      <c r="B15" s="58" t="s">
        <v>308</v>
      </c>
      <c r="C15" s="364">
        <v>450152</v>
      </c>
      <c r="D15" s="364">
        <v>194139</v>
      </c>
      <c r="E15" s="365">
        <f t="shared" si="0"/>
        <v>43.127432511684944</v>
      </c>
      <c r="F15" s="47">
        <f t="shared" si="1"/>
        <v>43.127432511684944</v>
      </c>
      <c r="G15" s="3"/>
      <c r="H15" s="3"/>
    </row>
    <row r="16" spans="1:8" ht="15">
      <c r="A16" s="363">
        <v>12</v>
      </c>
      <c r="B16" s="58" t="s">
        <v>309</v>
      </c>
      <c r="C16" s="364">
        <v>742352</v>
      </c>
      <c r="D16" s="364">
        <v>374036</v>
      </c>
      <c r="E16" s="365">
        <f t="shared" si="0"/>
        <v>50.385261978145138</v>
      </c>
      <c r="F16" s="47">
        <f t="shared" si="1"/>
        <v>50.385261978145138</v>
      </c>
      <c r="G16" s="3"/>
      <c r="H16" s="3"/>
    </row>
    <row r="17" spans="1:8" ht="15">
      <c r="A17" s="363">
        <v>13</v>
      </c>
      <c r="B17" s="58" t="s">
        <v>310</v>
      </c>
      <c r="C17" s="364">
        <v>265965</v>
      </c>
      <c r="D17" s="364">
        <v>143409</v>
      </c>
      <c r="E17" s="365">
        <f t="shared" si="0"/>
        <v>53.920252664824318</v>
      </c>
      <c r="F17" s="47">
        <f t="shared" si="1"/>
        <v>53.920252664824318</v>
      </c>
      <c r="G17" s="3"/>
      <c r="H17" s="3"/>
    </row>
    <row r="18" spans="1:8" ht="15">
      <c r="A18" s="363">
        <v>14</v>
      </c>
      <c r="B18" s="58" t="s">
        <v>311</v>
      </c>
      <c r="C18" s="364">
        <v>175220.04</v>
      </c>
      <c r="D18" s="364">
        <v>131996.49</v>
      </c>
      <c r="E18" s="365">
        <f t="shared" si="0"/>
        <v>75.331845603961739</v>
      </c>
      <c r="F18" s="47">
        <f t="shared" si="1"/>
        <v>75.331845603961739</v>
      </c>
      <c r="G18" s="3"/>
      <c r="H18" s="3"/>
    </row>
    <row r="19" spans="1:8" ht="15">
      <c r="A19" s="363">
        <v>15</v>
      </c>
      <c r="B19" s="58" t="s">
        <v>280</v>
      </c>
      <c r="C19" s="364">
        <v>397101</v>
      </c>
      <c r="D19" s="364">
        <v>399328</v>
      </c>
      <c r="E19" s="365">
        <f t="shared" si="0"/>
        <v>100.5608145031113</v>
      </c>
      <c r="F19" s="47">
        <f t="shared" si="1"/>
        <v>100.5608145031113</v>
      </c>
      <c r="G19" s="3"/>
      <c r="H19" s="3"/>
    </row>
    <row r="20" spans="1:8" ht="15">
      <c r="A20" s="363">
        <v>16</v>
      </c>
      <c r="B20" s="233" t="s">
        <v>312</v>
      </c>
      <c r="C20" s="364">
        <v>450743.57</v>
      </c>
      <c r="D20" s="364">
        <v>355861.72</v>
      </c>
      <c r="E20" s="365">
        <f t="shared" si="0"/>
        <v>78.949927117096749</v>
      </c>
      <c r="F20" s="47">
        <f t="shared" si="1"/>
        <v>78.949927117096749</v>
      </c>
      <c r="G20" s="3"/>
      <c r="H20" s="3"/>
    </row>
    <row r="21" spans="1:8" ht="15">
      <c r="A21" s="363">
        <v>17</v>
      </c>
      <c r="B21" s="366" t="s">
        <v>313</v>
      </c>
      <c r="C21" s="367">
        <v>88527.93</v>
      </c>
      <c r="D21" s="367">
        <v>35072.79</v>
      </c>
      <c r="E21" s="368">
        <f t="shared" si="0"/>
        <v>39.617768087427329</v>
      </c>
      <c r="F21" s="369">
        <f t="shared" si="1"/>
        <v>39.617768087427329</v>
      </c>
      <c r="G21" s="3"/>
      <c r="H21" s="3"/>
    </row>
    <row r="22" spans="1:8" ht="15">
      <c r="A22" s="363">
        <v>18</v>
      </c>
      <c r="B22" s="58" t="s">
        <v>314</v>
      </c>
      <c r="C22" s="364">
        <v>282756</v>
      </c>
      <c r="D22" s="364">
        <v>216712</v>
      </c>
      <c r="E22" s="365">
        <f t="shared" si="0"/>
        <v>76.642759128011434</v>
      </c>
      <c r="F22" s="47">
        <f t="shared" si="1"/>
        <v>76.642759128011434</v>
      </c>
      <c r="G22" s="3"/>
      <c r="H22" s="3"/>
    </row>
    <row r="23" spans="1:8" ht="15">
      <c r="A23" s="363">
        <v>19</v>
      </c>
      <c r="B23" s="58" t="s">
        <v>315</v>
      </c>
      <c r="C23" s="364">
        <v>1710890.69</v>
      </c>
      <c r="D23" s="364">
        <v>740786.34</v>
      </c>
      <c r="E23" s="365">
        <f t="shared" si="0"/>
        <v>43.298285760149881</v>
      </c>
      <c r="F23" s="47">
        <f t="shared" si="1"/>
        <v>43.298285760149881</v>
      </c>
      <c r="G23" s="3"/>
      <c r="H23" s="3"/>
    </row>
    <row r="24" spans="1:8" ht="15">
      <c r="A24" s="363">
        <v>20</v>
      </c>
      <c r="B24" s="58" t="s">
        <v>316</v>
      </c>
      <c r="C24" s="364">
        <v>158480</v>
      </c>
      <c r="D24" s="364">
        <v>201189</v>
      </c>
      <c r="E24" s="365">
        <f t="shared" si="0"/>
        <v>126.94914184755174</v>
      </c>
      <c r="F24" s="47">
        <f t="shared" si="1"/>
        <v>126.94914184755174</v>
      </c>
      <c r="G24" s="3"/>
      <c r="H24" s="3"/>
    </row>
    <row r="25" spans="1:8" ht="15">
      <c r="A25" s="363">
        <v>21</v>
      </c>
      <c r="B25" s="58" t="s">
        <v>317</v>
      </c>
      <c r="C25" s="364">
        <v>524275</v>
      </c>
      <c r="D25" s="364">
        <v>480740</v>
      </c>
      <c r="E25" s="365">
        <f t="shared" si="0"/>
        <v>91.696151828715841</v>
      </c>
      <c r="F25" s="47">
        <f t="shared" si="1"/>
        <v>91.696151828715841</v>
      </c>
      <c r="G25" s="3"/>
      <c r="H25" s="3"/>
    </row>
    <row r="26" spans="1:8" ht="15">
      <c r="A26" s="363">
        <v>22</v>
      </c>
      <c r="B26" s="58" t="s">
        <v>318</v>
      </c>
      <c r="C26" s="364">
        <v>4821976</v>
      </c>
      <c r="D26" s="364">
        <v>4630317</v>
      </c>
      <c r="E26" s="365">
        <f t="shared" si="0"/>
        <v>96.025301660564054</v>
      </c>
      <c r="F26" s="47">
        <f t="shared" si="1"/>
        <v>96.025301660564054</v>
      </c>
      <c r="G26" s="3"/>
      <c r="H26" s="3"/>
    </row>
    <row r="27" spans="1:8" ht="15">
      <c r="A27" s="363">
        <v>23</v>
      </c>
      <c r="B27" s="58" t="s">
        <v>319</v>
      </c>
      <c r="C27" s="364">
        <v>2495033</v>
      </c>
      <c r="D27" s="364">
        <v>999102</v>
      </c>
      <c r="E27" s="365">
        <f t="shared" si="0"/>
        <v>40.043638701371883</v>
      </c>
      <c r="F27" s="47">
        <f t="shared" si="1"/>
        <v>40.043638701371883</v>
      </c>
      <c r="G27" s="3"/>
      <c r="H27" s="3"/>
    </row>
    <row r="28" spans="1:8" ht="15">
      <c r="A28" s="363">
        <v>24</v>
      </c>
      <c r="B28" s="58" t="s">
        <v>320</v>
      </c>
      <c r="C28" s="364">
        <v>189645</v>
      </c>
      <c r="D28" s="364">
        <v>141124</v>
      </c>
      <c r="E28" s="365">
        <f t="shared" si="0"/>
        <v>74.414827704395051</v>
      </c>
      <c r="F28" s="47">
        <f t="shared" si="1"/>
        <v>74.414827704395051</v>
      </c>
      <c r="G28" s="3"/>
      <c r="H28" s="3"/>
    </row>
    <row r="29" spans="1:8" ht="15">
      <c r="A29" s="363">
        <v>25</v>
      </c>
      <c r="B29" s="58" t="s">
        <v>321</v>
      </c>
      <c r="C29" s="364">
        <v>409599</v>
      </c>
      <c r="D29" s="364">
        <v>204528</v>
      </c>
      <c r="E29" s="365">
        <f t="shared" si="0"/>
        <v>49.933715658485497</v>
      </c>
      <c r="F29" s="47">
        <f t="shared" si="1"/>
        <v>49.933715658485497</v>
      </c>
      <c r="G29" s="3"/>
      <c r="H29" s="3"/>
    </row>
    <row r="30" spans="1:8" ht="15">
      <c r="A30" s="363">
        <v>26</v>
      </c>
      <c r="B30" s="58" t="s">
        <v>322</v>
      </c>
      <c r="C30" s="364">
        <v>503126.9</v>
      </c>
      <c r="D30" s="364">
        <v>470422</v>
      </c>
      <c r="E30" s="365">
        <f t="shared" si="0"/>
        <v>93.499671752792381</v>
      </c>
      <c r="F30" s="47">
        <f t="shared" si="1"/>
        <v>93.499671752792381</v>
      </c>
      <c r="G30" s="3"/>
      <c r="H30" s="3"/>
    </row>
    <row r="31" spans="1:8" ht="15">
      <c r="A31" s="363">
        <v>27</v>
      </c>
      <c r="B31" s="58" t="s">
        <v>323</v>
      </c>
      <c r="C31" s="364">
        <v>385861.47</v>
      </c>
      <c r="D31" s="364">
        <v>484742.85</v>
      </c>
      <c r="E31" s="365">
        <f t="shared" si="0"/>
        <v>125.62613468507234</v>
      </c>
      <c r="F31" s="47">
        <f t="shared" si="1"/>
        <v>125.62613468507234</v>
      </c>
      <c r="G31" s="3"/>
      <c r="H31" s="3"/>
    </row>
    <row r="32" spans="1:8" ht="15">
      <c r="A32" s="363">
        <v>28</v>
      </c>
      <c r="B32" s="366" t="s">
        <v>761</v>
      </c>
      <c r="C32" s="367">
        <v>252113</v>
      </c>
      <c r="D32" s="367">
        <v>88897</v>
      </c>
      <c r="E32" s="368">
        <f t="shared" si="0"/>
        <v>35.260775921908035</v>
      </c>
      <c r="F32" s="369">
        <f t="shared" si="1"/>
        <v>35.260775921908035</v>
      </c>
      <c r="G32" s="3"/>
      <c r="H32" s="3"/>
    </row>
    <row r="33" spans="1:8" ht="15">
      <c r="A33" s="363">
        <v>29</v>
      </c>
      <c r="B33" s="58" t="s">
        <v>324</v>
      </c>
      <c r="C33" s="364">
        <v>384667</v>
      </c>
      <c r="D33" s="364">
        <v>286583</v>
      </c>
      <c r="E33" s="365">
        <f t="shared" si="0"/>
        <v>74.501581887710671</v>
      </c>
      <c r="F33" s="47">
        <f t="shared" si="1"/>
        <v>74.501581887710671</v>
      </c>
      <c r="G33" s="3"/>
      <c r="H33" s="3"/>
    </row>
    <row r="34" spans="1:8" ht="15">
      <c r="A34" s="363">
        <v>30</v>
      </c>
      <c r="B34" s="58" t="s">
        <v>325</v>
      </c>
      <c r="C34" s="364">
        <v>371512</v>
      </c>
      <c r="D34" s="364">
        <v>225651</v>
      </c>
      <c r="E34" s="365">
        <f t="shared" si="0"/>
        <v>60.738549495036501</v>
      </c>
      <c r="F34" s="47">
        <f t="shared" si="1"/>
        <v>60.738549495036501</v>
      </c>
      <c r="G34" s="3"/>
      <c r="H34" s="3"/>
    </row>
    <row r="35" spans="1:8" ht="15">
      <c r="A35" s="363">
        <v>31</v>
      </c>
      <c r="B35" s="58" t="s">
        <v>326</v>
      </c>
      <c r="C35" s="364">
        <v>267344.52</v>
      </c>
      <c r="D35" s="364">
        <v>248687.99</v>
      </c>
      <c r="E35" s="365">
        <f t="shared" si="0"/>
        <v>93.021540146025799</v>
      </c>
      <c r="F35" s="47">
        <f t="shared" si="1"/>
        <v>93.021540146025799</v>
      </c>
      <c r="G35" s="3"/>
      <c r="H35" s="3"/>
    </row>
    <row r="36" spans="1:8" ht="15">
      <c r="A36" s="363">
        <v>32</v>
      </c>
      <c r="B36" s="58" t="s">
        <v>327</v>
      </c>
      <c r="C36" s="364">
        <v>291014</v>
      </c>
      <c r="D36" s="364">
        <v>174938</v>
      </c>
      <c r="E36" s="365">
        <f t="shared" si="0"/>
        <v>60.1132591559169</v>
      </c>
      <c r="F36" s="47">
        <f t="shared" si="1"/>
        <v>60.1132591559169</v>
      </c>
      <c r="G36" s="3"/>
      <c r="H36" s="3"/>
    </row>
    <row r="37" spans="1:8" ht="15">
      <c r="A37" s="363">
        <v>33</v>
      </c>
      <c r="B37" s="366" t="s">
        <v>281</v>
      </c>
      <c r="C37" s="367">
        <v>211217</v>
      </c>
      <c r="D37" s="367">
        <v>82768</v>
      </c>
      <c r="E37" s="368">
        <f t="shared" ref="E37:E55" si="2">D37*100/C37</f>
        <v>39.186239743960002</v>
      </c>
      <c r="F37" s="369">
        <f t="shared" si="1"/>
        <v>39.186239743960002</v>
      </c>
      <c r="G37" s="3"/>
      <c r="H37" s="3"/>
    </row>
    <row r="38" spans="1:8" ht="15">
      <c r="A38" s="363">
        <v>34</v>
      </c>
      <c r="B38" s="58" t="s">
        <v>328</v>
      </c>
      <c r="C38" s="364">
        <v>279933</v>
      </c>
      <c r="D38" s="364">
        <v>379169</v>
      </c>
      <c r="E38" s="365">
        <f t="shared" si="2"/>
        <v>135.44991122875831</v>
      </c>
      <c r="F38" s="47">
        <f t="shared" si="1"/>
        <v>135.44991122875831</v>
      </c>
      <c r="G38" s="3"/>
      <c r="H38" s="3"/>
    </row>
    <row r="39" spans="1:8" ht="15">
      <c r="A39" s="363">
        <v>35</v>
      </c>
      <c r="B39" s="58" t="s">
        <v>329</v>
      </c>
      <c r="C39" s="364">
        <v>269535</v>
      </c>
      <c r="D39" s="364">
        <v>302333.87</v>
      </c>
      <c r="E39" s="365">
        <f t="shared" si="2"/>
        <v>112.16868681247334</v>
      </c>
      <c r="F39" s="47">
        <f t="shared" si="1"/>
        <v>112.16868681247334</v>
      </c>
      <c r="G39" s="3"/>
      <c r="H39" s="3"/>
    </row>
    <row r="40" spans="1:8" ht="15">
      <c r="A40" s="363">
        <v>36</v>
      </c>
      <c r="B40" s="58" t="s">
        <v>330</v>
      </c>
      <c r="C40" s="364">
        <v>602194</v>
      </c>
      <c r="D40" s="364">
        <v>400265</v>
      </c>
      <c r="E40" s="365">
        <f t="shared" si="2"/>
        <v>66.46778280753378</v>
      </c>
      <c r="F40" s="47">
        <f t="shared" si="1"/>
        <v>66.46778280753378</v>
      </c>
      <c r="G40" s="3"/>
      <c r="H40" s="3"/>
    </row>
    <row r="41" spans="1:8" ht="15">
      <c r="A41" s="363">
        <v>37</v>
      </c>
      <c r="B41" s="58" t="s">
        <v>331</v>
      </c>
      <c r="C41" s="364">
        <v>728674</v>
      </c>
      <c r="D41" s="364">
        <v>409851</v>
      </c>
      <c r="E41" s="365">
        <f t="shared" si="2"/>
        <v>56.24614024927471</v>
      </c>
      <c r="F41" s="47">
        <f t="shared" si="1"/>
        <v>56.24614024927471</v>
      </c>
      <c r="G41" s="3"/>
      <c r="H41" s="3"/>
    </row>
    <row r="42" spans="1:8" ht="15">
      <c r="A42" s="363">
        <v>38</v>
      </c>
      <c r="B42" s="58" t="s">
        <v>332</v>
      </c>
      <c r="C42" s="364">
        <v>776248.94</v>
      </c>
      <c r="D42" s="364">
        <v>397844.03</v>
      </c>
      <c r="E42" s="365">
        <f t="shared" si="2"/>
        <v>51.25211894009157</v>
      </c>
      <c r="F42" s="47">
        <f t="shared" si="1"/>
        <v>51.25211894009157</v>
      </c>
      <c r="G42" s="3"/>
      <c r="H42" s="3"/>
    </row>
    <row r="43" spans="1:8" ht="15">
      <c r="A43" s="363">
        <v>39</v>
      </c>
      <c r="B43" s="366" t="s">
        <v>333</v>
      </c>
      <c r="C43" s="367">
        <v>766773.47</v>
      </c>
      <c r="D43" s="367">
        <v>280341.45</v>
      </c>
      <c r="E43" s="368">
        <f t="shared" si="2"/>
        <v>36.561182796269676</v>
      </c>
      <c r="F43" s="369">
        <f t="shared" si="1"/>
        <v>36.561182796269676</v>
      </c>
      <c r="G43" s="3"/>
      <c r="H43" s="3"/>
    </row>
    <row r="44" spans="1:8" ht="15">
      <c r="A44" s="363">
        <v>40</v>
      </c>
      <c r="B44" s="58" t="s">
        <v>282</v>
      </c>
      <c r="C44" s="364">
        <v>296900</v>
      </c>
      <c r="D44" s="364">
        <v>344326</v>
      </c>
      <c r="E44" s="365">
        <f t="shared" si="2"/>
        <v>115.97372852812394</v>
      </c>
      <c r="F44" s="47">
        <f t="shared" si="1"/>
        <v>115.97372852812394</v>
      </c>
      <c r="G44" s="3"/>
      <c r="H44" s="3"/>
    </row>
    <row r="45" spans="1:8" ht="15">
      <c r="A45" s="363">
        <v>41</v>
      </c>
      <c r="B45" s="233" t="s">
        <v>334</v>
      </c>
      <c r="C45" s="364">
        <v>294464</v>
      </c>
      <c r="D45" s="364">
        <v>165838</v>
      </c>
      <c r="E45" s="365">
        <f t="shared" si="2"/>
        <v>56.318599217561399</v>
      </c>
      <c r="F45" s="47">
        <f t="shared" si="1"/>
        <v>56.318599217561399</v>
      </c>
      <c r="G45" s="3"/>
      <c r="H45" s="3"/>
    </row>
    <row r="46" spans="1:8" ht="15">
      <c r="A46" s="363">
        <v>42</v>
      </c>
      <c r="B46" s="366" t="s">
        <v>335</v>
      </c>
      <c r="C46" s="367">
        <v>338375</v>
      </c>
      <c r="D46" s="367">
        <v>106972</v>
      </c>
      <c r="E46" s="368">
        <f t="shared" si="2"/>
        <v>31.613446619874399</v>
      </c>
      <c r="F46" s="369">
        <f t="shared" si="1"/>
        <v>31.613446619874399</v>
      </c>
      <c r="G46" s="536">
        <f>D46+55000</f>
        <v>161972</v>
      </c>
      <c r="H46" s="537">
        <f>G46*100/C46</f>
        <v>47.867602512005909</v>
      </c>
    </row>
    <row r="47" spans="1:8" ht="15">
      <c r="A47" s="363">
        <v>43</v>
      </c>
      <c r="B47" s="58" t="s">
        <v>336</v>
      </c>
      <c r="C47" s="364">
        <v>199279</v>
      </c>
      <c r="D47" s="364">
        <v>240632</v>
      </c>
      <c r="E47" s="365">
        <f t="shared" si="2"/>
        <v>120.75130846702362</v>
      </c>
      <c r="F47" s="47">
        <f t="shared" si="1"/>
        <v>120.75130846702362</v>
      </c>
      <c r="G47" s="3"/>
      <c r="H47" s="3"/>
    </row>
    <row r="48" spans="1:8" ht="15">
      <c r="A48" s="363">
        <v>44</v>
      </c>
      <c r="B48" s="58" t="s">
        <v>337</v>
      </c>
      <c r="C48" s="364">
        <v>89209</v>
      </c>
      <c r="D48" s="364">
        <v>82737</v>
      </c>
      <c r="E48" s="365">
        <f t="shared" si="2"/>
        <v>92.745126612785711</v>
      </c>
      <c r="F48" s="47">
        <f t="shared" si="1"/>
        <v>92.745126612785711</v>
      </c>
      <c r="G48" s="3"/>
      <c r="H48" s="3"/>
    </row>
    <row r="49" spans="1:8" ht="15">
      <c r="A49" s="363">
        <v>45</v>
      </c>
      <c r="B49" s="58" t="s">
        <v>338</v>
      </c>
      <c r="C49" s="364">
        <v>339843.9</v>
      </c>
      <c r="D49" s="364">
        <v>178571.42</v>
      </c>
      <c r="E49" s="365">
        <f t="shared" si="2"/>
        <v>52.545130278930998</v>
      </c>
      <c r="F49" s="47">
        <f t="shared" si="1"/>
        <v>52.545130278930998</v>
      </c>
      <c r="G49" s="3"/>
      <c r="H49" s="3"/>
    </row>
    <row r="50" spans="1:8" ht="15">
      <c r="A50" s="363">
        <v>46</v>
      </c>
      <c r="B50" s="58" t="s">
        <v>339</v>
      </c>
      <c r="C50" s="364">
        <v>232181.04</v>
      </c>
      <c r="D50" s="364">
        <v>243265.16</v>
      </c>
      <c r="E50" s="365">
        <f t="shared" si="2"/>
        <v>104.77391263300396</v>
      </c>
      <c r="F50" s="47">
        <f t="shared" si="1"/>
        <v>104.77391263300396</v>
      </c>
      <c r="G50" s="3"/>
      <c r="H50" s="3"/>
    </row>
    <row r="51" spans="1:8" ht="15">
      <c r="A51" s="363">
        <v>47</v>
      </c>
      <c r="B51" s="58" t="s">
        <v>340</v>
      </c>
      <c r="C51" s="364">
        <v>508723</v>
      </c>
      <c r="D51" s="364">
        <v>664405</v>
      </c>
      <c r="E51" s="365">
        <f t="shared" si="2"/>
        <v>130.60250863436488</v>
      </c>
      <c r="F51" s="47">
        <f t="shared" si="1"/>
        <v>130.60250863436488</v>
      </c>
      <c r="G51" s="3"/>
      <c r="H51" s="3"/>
    </row>
    <row r="52" spans="1:8" ht="15">
      <c r="A52" s="363">
        <v>48</v>
      </c>
      <c r="B52" s="366" t="s">
        <v>283</v>
      </c>
      <c r="C52" s="367">
        <v>306949.2</v>
      </c>
      <c r="D52" s="367">
        <v>111752.68</v>
      </c>
      <c r="E52" s="368">
        <f t="shared" si="2"/>
        <v>36.407548871279026</v>
      </c>
      <c r="F52" s="369">
        <f t="shared" si="1"/>
        <v>36.407548871279026</v>
      </c>
      <c r="G52" s="3"/>
      <c r="H52" s="3"/>
    </row>
    <row r="53" spans="1:8" ht="15">
      <c r="A53" s="363">
        <v>49</v>
      </c>
      <c r="B53" s="58" t="s">
        <v>341</v>
      </c>
      <c r="C53" s="364">
        <v>730662</v>
      </c>
      <c r="D53" s="364">
        <v>489016</v>
      </c>
      <c r="E53" s="365">
        <f t="shared" si="2"/>
        <v>66.927799721348592</v>
      </c>
      <c r="F53" s="47">
        <f t="shared" si="1"/>
        <v>66.927799721348592</v>
      </c>
      <c r="G53" s="3"/>
      <c r="H53" s="3"/>
    </row>
    <row r="54" spans="1:8" ht="15">
      <c r="A54" s="363">
        <v>50</v>
      </c>
      <c r="B54" s="366" t="s">
        <v>342</v>
      </c>
      <c r="C54" s="367">
        <v>175088</v>
      </c>
      <c r="D54" s="367">
        <v>41725</v>
      </c>
      <c r="E54" s="368">
        <f t="shared" si="2"/>
        <v>23.830873617837888</v>
      </c>
      <c r="F54" s="369">
        <f t="shared" si="1"/>
        <v>23.830873617837888</v>
      </c>
      <c r="G54" s="3"/>
      <c r="H54" s="3"/>
    </row>
    <row r="55" spans="1:8" ht="15">
      <c r="A55" s="363">
        <v>51</v>
      </c>
      <c r="B55" s="58" t="s">
        <v>343</v>
      </c>
      <c r="C55" s="364">
        <v>375475</v>
      </c>
      <c r="D55" s="364">
        <v>417375</v>
      </c>
      <c r="E55" s="365">
        <f t="shared" si="2"/>
        <v>111.15919834875824</v>
      </c>
      <c r="F55" s="47">
        <f t="shared" si="1"/>
        <v>111.15919834875824</v>
      </c>
      <c r="G55" s="3"/>
      <c r="H55" s="3"/>
    </row>
  </sheetData>
  <mergeCells count="2">
    <mergeCell ref="A1:F1"/>
    <mergeCell ref="A2:F2"/>
  </mergeCells>
  <pageMargins left="0.7" right="0.7" top="0.75" bottom="0.75" header="0.3" footer="0.3"/>
  <pageSetup paperSize="9" scale="86" orientation="portrait" r:id="rId1"/>
  <headerFooter>
    <oddFooter>&amp;CData Table, State Level Banker's Committee, M.P.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76"/>
  <sheetViews>
    <sheetView tabSelected="1" zoomScaleNormal="10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F62" sqref="F62"/>
    </sheetView>
  </sheetViews>
  <sheetFormatPr defaultColWidth="4.42578125" defaultRowHeight="13.5"/>
  <cols>
    <col min="1" max="1" width="4.42578125" style="61"/>
    <col min="2" max="2" width="24.7109375" style="61" customWidth="1"/>
    <col min="3" max="3" width="11.5703125" style="110" bestFit="1" customWidth="1"/>
    <col min="4" max="4" width="12" style="110" bestFit="1" customWidth="1"/>
    <col min="5" max="6" width="11.5703125" style="110" bestFit="1" customWidth="1"/>
    <col min="7" max="7" width="9" style="110" bestFit="1" customWidth="1"/>
    <col min="8" max="8" width="9.5703125" style="110" customWidth="1"/>
    <col min="9" max="9" width="10.42578125" style="110" bestFit="1" customWidth="1"/>
    <col min="10" max="10" width="12.28515625" style="110" bestFit="1" customWidth="1"/>
    <col min="11" max="11" width="11.5703125" style="110" bestFit="1" customWidth="1"/>
    <col min="12" max="12" width="11.85546875" style="110" bestFit="1" customWidth="1"/>
    <col min="13" max="13" width="9" style="108" customWidth="1"/>
    <col min="14" max="14" width="4.42578125" style="61"/>
    <col min="15" max="15" width="8" style="61" hidden="1" customWidth="1"/>
    <col min="16" max="16" width="12" style="110" hidden="1" customWidth="1"/>
    <col min="17" max="17" width="7.42578125" style="110" hidden="1" customWidth="1"/>
    <col min="18" max="18" width="8.5703125" style="110" hidden="1" customWidth="1"/>
    <col min="19" max="19" width="0" style="61" hidden="1" customWidth="1"/>
    <col min="20" max="20" width="12" style="110" hidden="1" customWidth="1"/>
    <col min="21" max="21" width="0" style="61" hidden="1" customWidth="1"/>
    <col min="22" max="22" width="4.42578125" style="61"/>
    <col min="23" max="23" width="12" style="108" bestFit="1" customWidth="1"/>
    <col min="24" max="16384" width="4.42578125" style="61"/>
  </cols>
  <sheetData>
    <row r="1" spans="1:20" ht="15" customHeight="1">
      <c r="A1" s="593" t="s">
        <v>750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</row>
    <row r="2" spans="1:20" ht="15" customHeight="1">
      <c r="B2" s="107" t="s">
        <v>134</v>
      </c>
      <c r="H2" s="110" t="s">
        <v>143</v>
      </c>
      <c r="J2" s="111" t="s">
        <v>125</v>
      </c>
    </row>
    <row r="3" spans="1:20" ht="15" customHeight="1">
      <c r="A3" s="594" t="s">
        <v>120</v>
      </c>
      <c r="B3" s="594" t="s">
        <v>100</v>
      </c>
      <c r="C3" s="595" t="s">
        <v>751</v>
      </c>
      <c r="D3" s="595"/>
      <c r="E3" s="595"/>
      <c r="F3" s="595"/>
      <c r="G3" s="595"/>
      <c r="H3" s="595"/>
      <c r="I3" s="595"/>
      <c r="J3" s="595"/>
      <c r="K3" s="595"/>
      <c r="L3" s="595"/>
      <c r="M3" s="592" t="s">
        <v>267</v>
      </c>
    </row>
    <row r="4" spans="1:20" ht="24.95" customHeight="1">
      <c r="A4" s="594"/>
      <c r="B4" s="594"/>
      <c r="C4" s="595" t="s">
        <v>32</v>
      </c>
      <c r="D4" s="595"/>
      <c r="E4" s="595" t="s">
        <v>126</v>
      </c>
      <c r="F4" s="595"/>
      <c r="G4" s="595" t="s">
        <v>122</v>
      </c>
      <c r="H4" s="595"/>
      <c r="I4" s="595" t="s">
        <v>123</v>
      </c>
      <c r="J4" s="595"/>
      <c r="K4" s="595" t="s">
        <v>33</v>
      </c>
      <c r="L4" s="595"/>
      <c r="M4" s="592"/>
      <c r="O4" s="590">
        <v>42994</v>
      </c>
      <c r="P4" s="591"/>
      <c r="Q4" s="591" t="s">
        <v>346</v>
      </c>
      <c r="R4" s="591"/>
      <c r="S4" s="107"/>
    </row>
    <row r="5" spans="1:20" ht="15" customHeight="1">
      <c r="A5" s="594"/>
      <c r="B5" s="594"/>
      <c r="C5" s="352" t="s">
        <v>30</v>
      </c>
      <c r="D5" s="352" t="s">
        <v>17</v>
      </c>
      <c r="E5" s="352" t="s">
        <v>30</v>
      </c>
      <c r="F5" s="352" t="s">
        <v>17</v>
      </c>
      <c r="G5" s="352" t="s">
        <v>30</v>
      </c>
      <c r="H5" s="352" t="s">
        <v>17</v>
      </c>
      <c r="I5" s="352" t="s">
        <v>30</v>
      </c>
      <c r="J5" s="352" t="s">
        <v>17</v>
      </c>
      <c r="K5" s="352" t="s">
        <v>30</v>
      </c>
      <c r="L5" s="352" t="s">
        <v>17</v>
      </c>
      <c r="M5" s="592"/>
      <c r="O5" s="352" t="s">
        <v>30</v>
      </c>
      <c r="P5" s="352" t="s">
        <v>17</v>
      </c>
      <c r="Q5" s="352" t="s">
        <v>30</v>
      </c>
      <c r="R5" s="352" t="s">
        <v>17</v>
      </c>
      <c r="T5" s="110" t="s">
        <v>348</v>
      </c>
    </row>
    <row r="6" spans="1:20" ht="15" customHeight="1">
      <c r="A6" s="57">
        <v>1</v>
      </c>
      <c r="B6" s="97" t="s">
        <v>55</v>
      </c>
      <c r="C6" s="98">
        <v>99059</v>
      </c>
      <c r="D6" s="98">
        <v>195087</v>
      </c>
      <c r="E6" s="98">
        <f>KCC_17!E6</f>
        <v>62874</v>
      </c>
      <c r="F6" s="98">
        <f>KCC_17!F6</f>
        <v>105221</v>
      </c>
      <c r="G6" s="98">
        <v>275</v>
      </c>
      <c r="H6" s="98">
        <v>468</v>
      </c>
      <c r="I6" s="98">
        <v>4042</v>
      </c>
      <c r="J6" s="98">
        <v>21706</v>
      </c>
      <c r="K6" s="98">
        <f t="shared" ref="K6:K63" si="0">C6+G6+I6</f>
        <v>103376</v>
      </c>
      <c r="L6" s="98">
        <f t="shared" ref="L6:L63" si="1">D6+H6+J6</f>
        <v>217261</v>
      </c>
      <c r="M6" s="99">
        <f>L6*100/'CD Ratio_3(i)'!F6</f>
        <v>30.749688272683912</v>
      </c>
      <c r="O6" s="61">
        <v>103780</v>
      </c>
      <c r="P6" s="110">
        <v>209045</v>
      </c>
      <c r="Q6" s="110">
        <f>K6-O6</f>
        <v>-404</v>
      </c>
      <c r="R6" s="110">
        <f>L6-P6</f>
        <v>8216</v>
      </c>
      <c r="T6" s="110">
        <f>R6/100</f>
        <v>82.16</v>
      </c>
    </row>
    <row r="7" spans="1:20">
      <c r="A7" s="57">
        <v>2</v>
      </c>
      <c r="B7" s="97" t="s">
        <v>56</v>
      </c>
      <c r="C7" s="98">
        <v>1550</v>
      </c>
      <c r="D7" s="98">
        <v>5517.91</v>
      </c>
      <c r="E7" s="98">
        <f>KCC_17!E7</f>
        <v>1315</v>
      </c>
      <c r="F7" s="98">
        <f>KCC_17!F7</f>
        <v>2712.11</v>
      </c>
      <c r="G7" s="98">
        <v>0</v>
      </c>
      <c r="H7" s="98">
        <v>0</v>
      </c>
      <c r="I7" s="98">
        <v>5</v>
      </c>
      <c r="J7" s="98">
        <v>1949.51</v>
      </c>
      <c r="K7" s="98">
        <f t="shared" si="0"/>
        <v>1555</v>
      </c>
      <c r="L7" s="98">
        <f t="shared" si="1"/>
        <v>7467.42</v>
      </c>
      <c r="M7" s="99">
        <f>L7*100/'CD Ratio_3(i)'!F7</f>
        <v>9.7687307525816607</v>
      </c>
      <c r="O7" s="61">
        <v>1367</v>
      </c>
      <c r="P7" s="110">
        <v>5519.77</v>
      </c>
      <c r="Q7" s="110">
        <f t="shared" ref="Q7:Q63" si="2">K7-O7</f>
        <v>188</v>
      </c>
      <c r="R7" s="110">
        <f t="shared" ref="R7:R63" si="3">L7-P7</f>
        <v>1947.6499999999996</v>
      </c>
      <c r="T7" s="110">
        <f t="shared" ref="T7:T63" si="4">R7/100</f>
        <v>19.476499999999998</v>
      </c>
    </row>
    <row r="8" spans="1:20">
      <c r="A8" s="57">
        <v>3</v>
      </c>
      <c r="B8" s="97" t="s">
        <v>57</v>
      </c>
      <c r="C8" s="98">
        <v>40995</v>
      </c>
      <c r="D8" s="98">
        <v>78612.759999999995</v>
      </c>
      <c r="E8" s="98">
        <f>KCC_17!E8</f>
        <v>31444</v>
      </c>
      <c r="F8" s="98">
        <f>KCC_17!F8</f>
        <v>57997.37</v>
      </c>
      <c r="G8" s="98">
        <v>1990</v>
      </c>
      <c r="H8" s="98">
        <v>131559.72</v>
      </c>
      <c r="I8" s="98">
        <v>4901</v>
      </c>
      <c r="J8" s="98">
        <v>10575.37</v>
      </c>
      <c r="K8" s="98">
        <f t="shared" si="0"/>
        <v>47886</v>
      </c>
      <c r="L8" s="98">
        <f t="shared" si="1"/>
        <v>220747.84999999998</v>
      </c>
      <c r="M8" s="99">
        <f>L8*100/'CD Ratio_3(i)'!F8</f>
        <v>27.148817554479564</v>
      </c>
      <c r="O8" s="61">
        <v>46049</v>
      </c>
      <c r="P8" s="110">
        <v>147440</v>
      </c>
      <c r="Q8" s="110">
        <f t="shared" si="2"/>
        <v>1837</v>
      </c>
      <c r="R8" s="110">
        <f t="shared" si="3"/>
        <v>73307.849999999977</v>
      </c>
      <c r="T8" s="110">
        <f t="shared" si="4"/>
        <v>733.07849999999974</v>
      </c>
    </row>
    <row r="9" spans="1:20">
      <c r="A9" s="57">
        <v>4</v>
      </c>
      <c r="B9" s="97" t="s">
        <v>58</v>
      </c>
      <c r="C9" s="98">
        <v>370410</v>
      </c>
      <c r="D9" s="98">
        <v>759766</v>
      </c>
      <c r="E9" s="98">
        <f>KCC_17!E9</f>
        <v>334587</v>
      </c>
      <c r="F9" s="98">
        <f>KCC_17!F9</f>
        <v>654982</v>
      </c>
      <c r="G9" s="98">
        <v>17874</v>
      </c>
      <c r="H9" s="98">
        <v>38786</v>
      </c>
      <c r="I9" s="98">
        <v>37743</v>
      </c>
      <c r="J9" s="98">
        <v>85984</v>
      </c>
      <c r="K9" s="98">
        <f t="shared" si="0"/>
        <v>426027</v>
      </c>
      <c r="L9" s="98">
        <f t="shared" si="1"/>
        <v>884536</v>
      </c>
      <c r="M9" s="99">
        <f>L9*100/'CD Ratio_3(i)'!F9</f>
        <v>49.119358236861729</v>
      </c>
      <c r="O9" s="61">
        <v>477714</v>
      </c>
      <c r="P9" s="110">
        <v>999074</v>
      </c>
      <c r="Q9" s="110">
        <f t="shared" si="2"/>
        <v>-51687</v>
      </c>
      <c r="R9" s="110">
        <f t="shared" si="3"/>
        <v>-114538</v>
      </c>
      <c r="T9" s="110">
        <f t="shared" si="4"/>
        <v>-1145.3800000000001</v>
      </c>
    </row>
    <row r="10" spans="1:20">
      <c r="A10" s="57">
        <v>5</v>
      </c>
      <c r="B10" s="97" t="s">
        <v>59</v>
      </c>
      <c r="C10" s="98">
        <v>48214</v>
      </c>
      <c r="D10" s="98">
        <v>82861.7</v>
      </c>
      <c r="E10" s="98">
        <f>KCC_17!E10</f>
        <v>41203</v>
      </c>
      <c r="F10" s="98">
        <f>KCC_17!F10</f>
        <v>66765</v>
      </c>
      <c r="G10" s="98">
        <v>326</v>
      </c>
      <c r="H10" s="98">
        <v>6358.3</v>
      </c>
      <c r="I10" s="98">
        <v>1689</v>
      </c>
      <c r="J10" s="98">
        <v>13091.1</v>
      </c>
      <c r="K10" s="98">
        <f t="shared" si="0"/>
        <v>50229</v>
      </c>
      <c r="L10" s="98">
        <f t="shared" si="1"/>
        <v>102311.1</v>
      </c>
      <c r="M10" s="99">
        <f>L10*100/'CD Ratio_3(i)'!F10</f>
        <v>32.361671237296335</v>
      </c>
      <c r="O10" s="61">
        <v>51015</v>
      </c>
      <c r="P10" s="110">
        <v>94770</v>
      </c>
      <c r="Q10" s="110">
        <f t="shared" si="2"/>
        <v>-786</v>
      </c>
      <c r="R10" s="110">
        <f t="shared" si="3"/>
        <v>7541.1000000000058</v>
      </c>
      <c r="T10" s="110">
        <f t="shared" si="4"/>
        <v>75.411000000000058</v>
      </c>
    </row>
    <row r="11" spans="1:20">
      <c r="A11" s="57">
        <v>6</v>
      </c>
      <c r="B11" s="97" t="s">
        <v>241</v>
      </c>
      <c r="C11" s="98">
        <v>0</v>
      </c>
      <c r="D11" s="98">
        <v>0</v>
      </c>
      <c r="E11" s="98">
        <f>KCC_17!E11</f>
        <v>0</v>
      </c>
      <c r="F11" s="98">
        <f>KCC_17!F11</f>
        <v>0</v>
      </c>
      <c r="G11" s="98">
        <v>0</v>
      </c>
      <c r="H11" s="98">
        <v>0</v>
      </c>
      <c r="I11" s="98">
        <v>0</v>
      </c>
      <c r="J11" s="98">
        <v>0</v>
      </c>
      <c r="K11" s="98">
        <f t="shared" si="0"/>
        <v>0</v>
      </c>
      <c r="L11" s="98">
        <f t="shared" si="1"/>
        <v>0</v>
      </c>
      <c r="M11" s="99">
        <f>L11*100/'CD Ratio_3(i)'!F11</f>
        <v>0</v>
      </c>
      <c r="O11" s="61">
        <v>0</v>
      </c>
      <c r="P11" s="110">
        <v>0</v>
      </c>
      <c r="Q11" s="110">
        <f t="shared" si="2"/>
        <v>0</v>
      </c>
      <c r="R11" s="110">
        <f t="shared" si="3"/>
        <v>0</v>
      </c>
      <c r="T11" s="110">
        <f t="shared" si="4"/>
        <v>0</v>
      </c>
    </row>
    <row r="12" spans="1:20">
      <c r="A12" s="57">
        <v>7</v>
      </c>
      <c r="B12" s="100" t="s">
        <v>60</v>
      </c>
      <c r="C12" s="98">
        <v>46920</v>
      </c>
      <c r="D12" s="98">
        <v>119106.52</v>
      </c>
      <c r="E12" s="98">
        <f>KCC_17!E12</f>
        <v>24508</v>
      </c>
      <c r="F12" s="98">
        <f>KCC_17!F12</f>
        <v>49698.44</v>
      </c>
      <c r="G12" s="98">
        <v>0</v>
      </c>
      <c r="H12" s="98">
        <v>0</v>
      </c>
      <c r="I12" s="98">
        <v>51</v>
      </c>
      <c r="J12" s="98">
        <v>4707.01</v>
      </c>
      <c r="K12" s="98">
        <f t="shared" si="0"/>
        <v>46971</v>
      </c>
      <c r="L12" s="98">
        <f t="shared" si="1"/>
        <v>123813.53</v>
      </c>
      <c r="M12" s="99">
        <f>L12*100/'CD Ratio_3(i)'!F12</f>
        <v>28.344556596955375</v>
      </c>
      <c r="O12" s="61">
        <v>46059</v>
      </c>
      <c r="P12" s="110">
        <v>116421</v>
      </c>
      <c r="Q12" s="110">
        <f t="shared" si="2"/>
        <v>912</v>
      </c>
      <c r="R12" s="110">
        <f t="shared" si="3"/>
        <v>7392.5299999999988</v>
      </c>
      <c r="T12" s="110">
        <f t="shared" si="4"/>
        <v>73.925299999999993</v>
      </c>
    </row>
    <row r="13" spans="1:20">
      <c r="A13" s="57">
        <v>8</v>
      </c>
      <c r="B13" s="97" t="s">
        <v>61</v>
      </c>
      <c r="C13" s="98">
        <v>305946</v>
      </c>
      <c r="D13" s="98">
        <v>463074</v>
      </c>
      <c r="E13" s="98">
        <f>KCC_17!E13</f>
        <v>234049</v>
      </c>
      <c r="F13" s="98">
        <f>KCC_17!F13</f>
        <v>336642</v>
      </c>
      <c r="G13" s="98">
        <v>501</v>
      </c>
      <c r="H13" s="98">
        <v>25461</v>
      </c>
      <c r="I13" s="98">
        <v>1184</v>
      </c>
      <c r="J13" s="98">
        <v>39097</v>
      </c>
      <c r="K13" s="98">
        <f t="shared" si="0"/>
        <v>307631</v>
      </c>
      <c r="L13" s="98">
        <f t="shared" si="1"/>
        <v>527632</v>
      </c>
      <c r="M13" s="99">
        <f>L13*100/'CD Ratio_3(i)'!F13</f>
        <v>43.605626073855646</v>
      </c>
      <c r="O13" s="61">
        <v>304681</v>
      </c>
      <c r="P13" s="110">
        <v>527199</v>
      </c>
      <c r="Q13" s="110">
        <f t="shared" si="2"/>
        <v>2950</v>
      </c>
      <c r="R13" s="110">
        <f t="shared" si="3"/>
        <v>433</v>
      </c>
      <c r="T13" s="110">
        <f t="shared" si="4"/>
        <v>4.33</v>
      </c>
    </row>
    <row r="14" spans="1:20">
      <c r="A14" s="57">
        <v>9</v>
      </c>
      <c r="B14" s="97" t="s">
        <v>48</v>
      </c>
      <c r="C14" s="98">
        <v>12813</v>
      </c>
      <c r="D14" s="98">
        <v>41345</v>
      </c>
      <c r="E14" s="98">
        <f>KCC_17!E14</f>
        <v>8164</v>
      </c>
      <c r="F14" s="98">
        <f>KCC_17!F14</f>
        <v>23678</v>
      </c>
      <c r="G14" s="98">
        <v>0</v>
      </c>
      <c r="H14" s="98">
        <v>0</v>
      </c>
      <c r="I14" s="98">
        <v>0</v>
      </c>
      <c r="J14" s="98">
        <v>0</v>
      </c>
      <c r="K14" s="98">
        <f t="shared" si="0"/>
        <v>12813</v>
      </c>
      <c r="L14" s="98">
        <f t="shared" si="1"/>
        <v>41345</v>
      </c>
      <c r="M14" s="99">
        <f>L14*100/'CD Ratio_3(i)'!F14</f>
        <v>12.66014648963794</v>
      </c>
      <c r="O14" s="61">
        <v>11338</v>
      </c>
      <c r="P14" s="110">
        <v>34578</v>
      </c>
      <c r="Q14" s="110">
        <f t="shared" si="2"/>
        <v>1475</v>
      </c>
      <c r="R14" s="110">
        <f t="shared" si="3"/>
        <v>6767</v>
      </c>
      <c r="T14" s="110">
        <f t="shared" si="4"/>
        <v>67.67</v>
      </c>
    </row>
    <row r="15" spans="1:20">
      <c r="A15" s="57">
        <v>10</v>
      </c>
      <c r="B15" s="97" t="s">
        <v>49</v>
      </c>
      <c r="C15" s="98">
        <v>10922</v>
      </c>
      <c r="D15" s="98">
        <v>22028</v>
      </c>
      <c r="E15" s="98">
        <f>KCC_17!E15</f>
        <v>8192</v>
      </c>
      <c r="F15" s="98">
        <f>KCC_17!F15</f>
        <v>16055</v>
      </c>
      <c r="G15" s="98">
        <v>140</v>
      </c>
      <c r="H15" s="98">
        <v>517</v>
      </c>
      <c r="I15" s="98">
        <v>33</v>
      </c>
      <c r="J15" s="98">
        <v>352</v>
      </c>
      <c r="K15" s="98">
        <f t="shared" si="0"/>
        <v>11095</v>
      </c>
      <c r="L15" s="98">
        <f t="shared" si="1"/>
        <v>22897</v>
      </c>
      <c r="M15" s="99">
        <f>L15*100/'CD Ratio_3(i)'!F15</f>
        <v>14.618154423688344</v>
      </c>
      <c r="O15" s="61">
        <v>11013</v>
      </c>
      <c r="P15" s="110">
        <v>22018</v>
      </c>
      <c r="Q15" s="110">
        <f t="shared" si="2"/>
        <v>82</v>
      </c>
      <c r="R15" s="110">
        <f t="shared" si="3"/>
        <v>879</v>
      </c>
      <c r="T15" s="110">
        <f t="shared" si="4"/>
        <v>8.7899999999999991</v>
      </c>
    </row>
    <row r="16" spans="1:20">
      <c r="A16" s="57">
        <v>11</v>
      </c>
      <c r="B16" s="97" t="s">
        <v>81</v>
      </c>
      <c r="C16" s="98">
        <v>25740</v>
      </c>
      <c r="D16" s="98">
        <v>50251</v>
      </c>
      <c r="E16" s="98">
        <f>KCC_17!E16</f>
        <v>11605</v>
      </c>
      <c r="F16" s="98">
        <f>KCC_17!F16</f>
        <v>24192</v>
      </c>
      <c r="G16" s="98">
        <v>33</v>
      </c>
      <c r="H16" s="98">
        <v>933</v>
      </c>
      <c r="I16" s="98">
        <v>46</v>
      </c>
      <c r="J16" s="98">
        <v>10136</v>
      </c>
      <c r="K16" s="98">
        <f t="shared" si="0"/>
        <v>25819</v>
      </c>
      <c r="L16" s="98">
        <f t="shared" si="1"/>
        <v>61320</v>
      </c>
      <c r="M16" s="99">
        <f>L16*100/'CD Ratio_3(i)'!F16</f>
        <v>16.086634871165259</v>
      </c>
      <c r="O16" s="61">
        <v>27782</v>
      </c>
      <c r="P16" s="110">
        <v>51368</v>
      </c>
      <c r="Q16" s="110">
        <f t="shared" si="2"/>
        <v>-1963</v>
      </c>
      <c r="R16" s="110">
        <f t="shared" si="3"/>
        <v>9952</v>
      </c>
      <c r="T16" s="110">
        <f t="shared" si="4"/>
        <v>99.52</v>
      </c>
    </row>
    <row r="17" spans="1:20">
      <c r="A17" s="57">
        <v>12</v>
      </c>
      <c r="B17" s="97" t="s">
        <v>62</v>
      </c>
      <c r="C17" s="98">
        <v>1872</v>
      </c>
      <c r="D17" s="98">
        <v>2247</v>
      </c>
      <c r="E17" s="98">
        <f>KCC_17!E17</f>
        <v>1850</v>
      </c>
      <c r="F17" s="98">
        <f>KCC_17!F17</f>
        <v>2158</v>
      </c>
      <c r="G17" s="98">
        <v>29</v>
      </c>
      <c r="H17" s="98">
        <v>419</v>
      </c>
      <c r="I17" s="98">
        <v>282</v>
      </c>
      <c r="J17" s="98">
        <v>681</v>
      </c>
      <c r="K17" s="98">
        <f t="shared" si="0"/>
        <v>2183</v>
      </c>
      <c r="L17" s="98">
        <f t="shared" si="1"/>
        <v>3347</v>
      </c>
      <c r="M17" s="99">
        <f>L17*100/'CD Ratio_3(i)'!F17</f>
        <v>8.6892927507621636</v>
      </c>
      <c r="O17" s="61">
        <v>2530</v>
      </c>
      <c r="P17" s="110">
        <v>4115</v>
      </c>
      <c r="Q17" s="110">
        <f t="shared" si="2"/>
        <v>-347</v>
      </c>
      <c r="R17" s="110">
        <f t="shared" si="3"/>
        <v>-768</v>
      </c>
      <c r="T17" s="110">
        <f t="shared" si="4"/>
        <v>-7.68</v>
      </c>
    </row>
    <row r="18" spans="1:20">
      <c r="A18" s="57">
        <v>13</v>
      </c>
      <c r="B18" s="97" t="s">
        <v>63</v>
      </c>
      <c r="C18" s="98">
        <v>2554</v>
      </c>
      <c r="D18" s="98">
        <v>6086</v>
      </c>
      <c r="E18" s="98">
        <f>KCC_17!E18</f>
        <v>1836</v>
      </c>
      <c r="F18" s="98">
        <f>KCC_17!F18</f>
        <v>3171</v>
      </c>
      <c r="G18" s="98">
        <v>3</v>
      </c>
      <c r="H18" s="98">
        <v>47</v>
      </c>
      <c r="I18" s="98">
        <v>339</v>
      </c>
      <c r="J18" s="98">
        <v>2532</v>
      </c>
      <c r="K18" s="98">
        <f t="shared" si="0"/>
        <v>2896</v>
      </c>
      <c r="L18" s="98">
        <f t="shared" si="1"/>
        <v>8665</v>
      </c>
      <c r="M18" s="99">
        <f>L18*100/'CD Ratio_3(i)'!F18</f>
        <v>8.4072341994450159</v>
      </c>
      <c r="O18" s="61">
        <v>2735</v>
      </c>
      <c r="P18" s="110">
        <v>8276</v>
      </c>
      <c r="Q18" s="110">
        <f t="shared" si="2"/>
        <v>161</v>
      </c>
      <c r="R18" s="110">
        <f t="shared" si="3"/>
        <v>389</v>
      </c>
      <c r="T18" s="110">
        <f t="shared" si="4"/>
        <v>3.89</v>
      </c>
    </row>
    <row r="19" spans="1:20">
      <c r="A19" s="57">
        <v>14</v>
      </c>
      <c r="B19" s="97" t="s">
        <v>206</v>
      </c>
      <c r="C19" s="98">
        <v>10628</v>
      </c>
      <c r="D19" s="98">
        <v>30523.759999999998</v>
      </c>
      <c r="E19" s="98">
        <f>KCC_17!E19</f>
        <v>8352</v>
      </c>
      <c r="F19" s="98">
        <f>KCC_17!F19</f>
        <v>20250.080000000002</v>
      </c>
      <c r="G19" s="98">
        <v>138</v>
      </c>
      <c r="H19" s="98">
        <v>1749.73</v>
      </c>
      <c r="I19" s="98">
        <v>191</v>
      </c>
      <c r="J19" s="98">
        <v>271.45999999999998</v>
      </c>
      <c r="K19" s="98">
        <f t="shared" si="0"/>
        <v>10957</v>
      </c>
      <c r="L19" s="98">
        <f t="shared" si="1"/>
        <v>32544.949999999997</v>
      </c>
      <c r="M19" s="99">
        <f>L19*100/'CD Ratio_3(i)'!F19</f>
        <v>13.51614510061933</v>
      </c>
      <c r="O19" s="61">
        <v>10974</v>
      </c>
      <c r="P19" s="110">
        <v>50770.17</v>
      </c>
      <c r="Q19" s="110">
        <f t="shared" si="2"/>
        <v>-17</v>
      </c>
      <c r="R19" s="110">
        <f t="shared" si="3"/>
        <v>-18225.22</v>
      </c>
      <c r="T19" s="110">
        <f t="shared" si="4"/>
        <v>-182.25220000000002</v>
      </c>
    </row>
    <row r="20" spans="1:20">
      <c r="A20" s="57">
        <v>15</v>
      </c>
      <c r="B20" s="101" t="s">
        <v>207</v>
      </c>
      <c r="C20" s="98">
        <v>5408</v>
      </c>
      <c r="D20" s="98">
        <v>11208.46</v>
      </c>
      <c r="E20" s="98">
        <f>KCC_17!E20</f>
        <v>4461</v>
      </c>
      <c r="F20" s="98">
        <f>KCC_17!F20</f>
        <v>9091.64</v>
      </c>
      <c r="G20" s="98">
        <v>0</v>
      </c>
      <c r="H20" s="98">
        <v>0</v>
      </c>
      <c r="I20" s="98">
        <v>0</v>
      </c>
      <c r="J20" s="98">
        <v>0</v>
      </c>
      <c r="K20" s="98">
        <f t="shared" si="0"/>
        <v>5408</v>
      </c>
      <c r="L20" s="98">
        <f t="shared" si="1"/>
        <v>11208.46</v>
      </c>
      <c r="M20" s="99">
        <f>L20*100/'CD Ratio_3(i)'!F20</f>
        <v>16.607094174124342</v>
      </c>
      <c r="O20" s="61">
        <v>5225</v>
      </c>
      <c r="P20" s="110">
        <v>11116.12</v>
      </c>
      <c r="Q20" s="110">
        <f t="shared" si="2"/>
        <v>183</v>
      </c>
      <c r="R20" s="110">
        <f t="shared" si="3"/>
        <v>92.339999999998327</v>
      </c>
      <c r="T20" s="110">
        <f t="shared" si="4"/>
        <v>0.92339999999998323</v>
      </c>
    </row>
    <row r="21" spans="1:20">
      <c r="A21" s="57">
        <v>16</v>
      </c>
      <c r="B21" s="97" t="s">
        <v>64</v>
      </c>
      <c r="C21" s="98">
        <v>200709</v>
      </c>
      <c r="D21" s="98">
        <v>300186</v>
      </c>
      <c r="E21" s="98">
        <f>KCC_17!E21</f>
        <v>163350</v>
      </c>
      <c r="F21" s="98">
        <f>KCC_17!F21</f>
        <v>239999</v>
      </c>
      <c r="G21" s="98">
        <v>250</v>
      </c>
      <c r="H21" s="98">
        <v>12071</v>
      </c>
      <c r="I21" s="98">
        <v>201</v>
      </c>
      <c r="J21" s="98">
        <v>49562</v>
      </c>
      <c r="K21" s="98">
        <f t="shared" si="0"/>
        <v>201160</v>
      </c>
      <c r="L21" s="98">
        <f t="shared" si="1"/>
        <v>361819</v>
      </c>
      <c r="M21" s="99">
        <f>L21*100/'CD Ratio_3(i)'!F21</f>
        <v>25.064267975463522</v>
      </c>
      <c r="O21" s="61">
        <v>198587</v>
      </c>
      <c r="P21" s="110">
        <v>327402</v>
      </c>
      <c r="Q21" s="110">
        <f t="shared" si="2"/>
        <v>2573</v>
      </c>
      <c r="R21" s="110">
        <f t="shared" si="3"/>
        <v>34417</v>
      </c>
      <c r="T21" s="110">
        <f t="shared" si="4"/>
        <v>344.17</v>
      </c>
    </row>
    <row r="22" spans="1:20">
      <c r="A22" s="57">
        <v>17</v>
      </c>
      <c r="B22" s="97" t="s">
        <v>69</v>
      </c>
      <c r="C22" s="98">
        <v>0</v>
      </c>
      <c r="D22" s="98">
        <v>0</v>
      </c>
      <c r="E22" s="98">
        <f>KCC_17!E22</f>
        <v>0</v>
      </c>
      <c r="F22" s="98">
        <f>KCC_17!F22</f>
        <v>0</v>
      </c>
      <c r="G22" s="98">
        <v>0</v>
      </c>
      <c r="H22" s="98">
        <v>0</v>
      </c>
      <c r="I22" s="98">
        <v>0</v>
      </c>
      <c r="J22" s="98">
        <v>0</v>
      </c>
      <c r="K22" s="98">
        <f t="shared" si="0"/>
        <v>0</v>
      </c>
      <c r="L22" s="98">
        <f t="shared" si="1"/>
        <v>0</v>
      </c>
      <c r="M22" s="99">
        <f>L22*100/'CD Ratio_3(i)'!F22</f>
        <v>0</v>
      </c>
      <c r="O22" s="61">
        <v>0</v>
      </c>
      <c r="P22" s="110">
        <v>0</v>
      </c>
      <c r="Q22" s="110">
        <f t="shared" si="2"/>
        <v>0</v>
      </c>
      <c r="R22" s="110">
        <f t="shared" si="3"/>
        <v>0</v>
      </c>
      <c r="T22" s="110">
        <f t="shared" si="4"/>
        <v>0</v>
      </c>
    </row>
    <row r="23" spans="1:20">
      <c r="A23" s="57">
        <v>18</v>
      </c>
      <c r="B23" s="106" t="s">
        <v>208</v>
      </c>
      <c r="C23" s="98">
        <v>0</v>
      </c>
      <c r="D23" s="98">
        <v>0</v>
      </c>
      <c r="E23" s="98">
        <f>KCC_17!E23</f>
        <v>0</v>
      </c>
      <c r="F23" s="98">
        <f>KCC_17!F23</f>
        <v>0</v>
      </c>
      <c r="G23" s="98">
        <v>0</v>
      </c>
      <c r="H23" s="98">
        <v>0</v>
      </c>
      <c r="I23" s="98">
        <v>0</v>
      </c>
      <c r="J23" s="98">
        <v>0</v>
      </c>
      <c r="K23" s="98">
        <f t="shared" si="0"/>
        <v>0</v>
      </c>
      <c r="L23" s="98">
        <f t="shared" si="1"/>
        <v>0</v>
      </c>
      <c r="M23" s="99">
        <f>L23*100/'CD Ratio_3(i)'!F23</f>
        <v>0</v>
      </c>
      <c r="O23" s="61">
        <v>0</v>
      </c>
      <c r="P23" s="110">
        <v>0</v>
      </c>
      <c r="Q23" s="110">
        <f t="shared" si="2"/>
        <v>0</v>
      </c>
      <c r="R23" s="110">
        <f t="shared" si="3"/>
        <v>0</v>
      </c>
      <c r="T23" s="110">
        <f t="shared" si="4"/>
        <v>0</v>
      </c>
    </row>
    <row r="24" spans="1:20">
      <c r="A24" s="57">
        <v>19</v>
      </c>
      <c r="B24" s="97" t="s">
        <v>209</v>
      </c>
      <c r="C24" s="98">
        <v>6</v>
      </c>
      <c r="D24" s="98">
        <v>37.979999999999997</v>
      </c>
      <c r="E24" s="98">
        <f>KCC_17!E24</f>
        <v>0</v>
      </c>
      <c r="F24" s="98">
        <f>KCC_17!F24</f>
        <v>0</v>
      </c>
      <c r="G24" s="98">
        <v>4</v>
      </c>
      <c r="H24" s="98">
        <v>780</v>
      </c>
      <c r="I24" s="98">
        <v>1</v>
      </c>
      <c r="J24" s="98">
        <v>20</v>
      </c>
      <c r="K24" s="98">
        <f t="shared" si="0"/>
        <v>11</v>
      </c>
      <c r="L24" s="98">
        <f t="shared" si="1"/>
        <v>837.98</v>
      </c>
      <c r="M24" s="99">
        <f>L24*100/'CD Ratio_3(i)'!F24</f>
        <v>1.2069596278212273</v>
      </c>
      <c r="O24" s="61">
        <v>13</v>
      </c>
      <c r="P24" s="110">
        <v>944.43</v>
      </c>
      <c r="Q24" s="110">
        <f t="shared" si="2"/>
        <v>-2</v>
      </c>
      <c r="R24" s="110">
        <f t="shared" si="3"/>
        <v>-106.44999999999993</v>
      </c>
      <c r="T24" s="110">
        <f t="shared" si="4"/>
        <v>-1.0644999999999993</v>
      </c>
    </row>
    <row r="25" spans="1:20">
      <c r="A25" s="57">
        <v>20</v>
      </c>
      <c r="B25" s="210" t="s">
        <v>210</v>
      </c>
      <c r="C25" s="98">
        <v>0</v>
      </c>
      <c r="D25" s="98">
        <v>0</v>
      </c>
      <c r="E25" s="98">
        <f>KCC_17!E25</f>
        <v>0</v>
      </c>
      <c r="F25" s="98">
        <f>KCC_17!F25</f>
        <v>0</v>
      </c>
      <c r="G25" s="98">
        <v>0</v>
      </c>
      <c r="H25" s="98">
        <v>0</v>
      </c>
      <c r="I25" s="98">
        <v>0</v>
      </c>
      <c r="J25" s="98">
        <v>0</v>
      </c>
      <c r="K25" s="98">
        <f t="shared" si="0"/>
        <v>0</v>
      </c>
      <c r="L25" s="98">
        <f t="shared" si="1"/>
        <v>0</v>
      </c>
      <c r="M25" s="99">
        <f>L25*100/'CD Ratio_3(i)'!F25</f>
        <v>0</v>
      </c>
      <c r="O25" s="61">
        <v>0</v>
      </c>
      <c r="P25" s="110">
        <v>0</v>
      </c>
      <c r="Q25" s="110">
        <f t="shared" si="2"/>
        <v>0</v>
      </c>
      <c r="R25" s="110">
        <f t="shared" si="3"/>
        <v>0</v>
      </c>
      <c r="T25" s="110">
        <f t="shared" si="4"/>
        <v>0</v>
      </c>
    </row>
    <row r="26" spans="1:20">
      <c r="A26" s="57">
        <v>21</v>
      </c>
      <c r="B26" s="97" t="s">
        <v>211</v>
      </c>
      <c r="C26" s="98">
        <v>301</v>
      </c>
      <c r="D26" s="98">
        <v>276</v>
      </c>
      <c r="E26" s="98">
        <f>KCC_17!E26</f>
        <v>222</v>
      </c>
      <c r="F26" s="98">
        <f>KCC_17!F26</f>
        <v>154</v>
      </c>
      <c r="G26" s="98">
        <v>0</v>
      </c>
      <c r="H26" s="98">
        <v>0</v>
      </c>
      <c r="I26" s="98">
        <v>79</v>
      </c>
      <c r="J26" s="98">
        <v>102</v>
      </c>
      <c r="K26" s="98">
        <f t="shared" si="0"/>
        <v>380</v>
      </c>
      <c r="L26" s="98">
        <f t="shared" si="1"/>
        <v>378</v>
      </c>
      <c r="M26" s="99">
        <f>L26*100/'CD Ratio_3(i)'!F26</f>
        <v>1.2536897615336142</v>
      </c>
      <c r="O26" s="61">
        <v>0</v>
      </c>
      <c r="P26" s="110">
        <v>0</v>
      </c>
      <c r="Q26" s="110">
        <f t="shared" si="2"/>
        <v>380</v>
      </c>
      <c r="R26" s="110">
        <f t="shared" si="3"/>
        <v>378</v>
      </c>
      <c r="T26" s="110">
        <f t="shared" si="4"/>
        <v>3.78</v>
      </c>
    </row>
    <row r="27" spans="1:20">
      <c r="A27" s="57">
        <v>22</v>
      </c>
      <c r="B27" s="97" t="s">
        <v>70</v>
      </c>
      <c r="C27" s="98">
        <v>646399</v>
      </c>
      <c r="D27" s="98">
        <v>1145525</v>
      </c>
      <c r="E27" s="98">
        <f>KCC_17!E27</f>
        <v>540260</v>
      </c>
      <c r="F27" s="98">
        <f>KCC_17!F27</f>
        <v>1005257</v>
      </c>
      <c r="G27" s="98">
        <v>741</v>
      </c>
      <c r="H27" s="98">
        <v>2862</v>
      </c>
      <c r="I27" s="98">
        <v>26715</v>
      </c>
      <c r="J27" s="98">
        <v>63067</v>
      </c>
      <c r="K27" s="98">
        <f t="shared" si="0"/>
        <v>673855</v>
      </c>
      <c r="L27" s="98">
        <f t="shared" si="1"/>
        <v>1211454</v>
      </c>
      <c r="M27" s="99">
        <f>L27*100/'CD Ratio_3(i)'!F27</f>
        <v>21.102529264214049</v>
      </c>
      <c r="O27" s="61">
        <v>710666</v>
      </c>
      <c r="P27" s="110">
        <v>1244060</v>
      </c>
      <c r="Q27" s="110">
        <f t="shared" si="2"/>
        <v>-36811</v>
      </c>
      <c r="R27" s="110">
        <f t="shared" si="3"/>
        <v>-32606</v>
      </c>
      <c r="T27" s="110">
        <f t="shared" si="4"/>
        <v>-326.06</v>
      </c>
    </row>
    <row r="28" spans="1:20">
      <c r="A28" s="57">
        <v>23</v>
      </c>
      <c r="B28" s="97" t="s">
        <v>65</v>
      </c>
      <c r="C28" s="98">
        <v>9034</v>
      </c>
      <c r="D28" s="98">
        <v>13312</v>
      </c>
      <c r="E28" s="98">
        <f>KCC_17!E28</f>
        <v>6714</v>
      </c>
      <c r="F28" s="98">
        <f>KCC_17!F28</f>
        <v>10226</v>
      </c>
      <c r="G28" s="98">
        <v>11</v>
      </c>
      <c r="H28" s="98">
        <v>523</v>
      </c>
      <c r="I28" s="98">
        <v>103</v>
      </c>
      <c r="J28" s="98">
        <v>1578</v>
      </c>
      <c r="K28" s="98">
        <f t="shared" si="0"/>
        <v>9148</v>
      </c>
      <c r="L28" s="98">
        <f t="shared" si="1"/>
        <v>15413</v>
      </c>
      <c r="M28" s="99">
        <f>L28*100/'CD Ratio_3(i)'!F28</f>
        <v>9.7778990173252716</v>
      </c>
      <c r="O28" s="61">
        <v>8373</v>
      </c>
      <c r="P28" s="110">
        <v>12767</v>
      </c>
      <c r="Q28" s="110">
        <f t="shared" si="2"/>
        <v>775</v>
      </c>
      <c r="R28" s="110">
        <f t="shared" si="3"/>
        <v>2646</v>
      </c>
      <c r="T28" s="110">
        <f t="shared" si="4"/>
        <v>26.46</v>
      </c>
    </row>
    <row r="29" spans="1:20">
      <c r="A29" s="57">
        <v>24</v>
      </c>
      <c r="B29" s="101" t="s">
        <v>212</v>
      </c>
      <c r="C29" s="98">
        <v>98695</v>
      </c>
      <c r="D29" s="98">
        <v>100374</v>
      </c>
      <c r="E29" s="98">
        <f>KCC_17!E29</f>
        <v>94222</v>
      </c>
      <c r="F29" s="98">
        <f>KCC_17!F29</f>
        <v>59066</v>
      </c>
      <c r="G29" s="98">
        <v>4227</v>
      </c>
      <c r="H29" s="98">
        <v>11123</v>
      </c>
      <c r="I29" s="98">
        <v>2333</v>
      </c>
      <c r="J29" s="98">
        <v>2441</v>
      </c>
      <c r="K29" s="98">
        <f t="shared" si="0"/>
        <v>105255</v>
      </c>
      <c r="L29" s="98">
        <f t="shared" si="1"/>
        <v>113938</v>
      </c>
      <c r="M29" s="99">
        <f>L29*100/'CD Ratio_3(i)'!F29</f>
        <v>25.132107452872667</v>
      </c>
      <c r="O29" s="61">
        <v>102982</v>
      </c>
      <c r="P29" s="110">
        <v>126543</v>
      </c>
      <c r="Q29" s="110">
        <f t="shared" si="2"/>
        <v>2273</v>
      </c>
      <c r="R29" s="110">
        <f t="shared" si="3"/>
        <v>-12605</v>
      </c>
      <c r="T29" s="110">
        <f t="shared" si="4"/>
        <v>-126.05</v>
      </c>
    </row>
    <row r="30" spans="1:20">
      <c r="A30" s="57">
        <v>25</v>
      </c>
      <c r="B30" s="97" t="s">
        <v>66</v>
      </c>
      <c r="C30" s="98">
        <v>126263</v>
      </c>
      <c r="D30" s="98">
        <v>252277</v>
      </c>
      <c r="E30" s="98">
        <f>KCC_17!E30</f>
        <v>109278</v>
      </c>
      <c r="F30" s="98">
        <f>KCC_17!F30</f>
        <v>211287</v>
      </c>
      <c r="G30" s="98">
        <v>1102</v>
      </c>
      <c r="H30" s="98">
        <v>11302</v>
      </c>
      <c r="I30" s="98">
        <v>1547</v>
      </c>
      <c r="J30" s="98">
        <v>73212</v>
      </c>
      <c r="K30" s="98">
        <f t="shared" si="0"/>
        <v>128912</v>
      </c>
      <c r="L30" s="98">
        <f t="shared" si="1"/>
        <v>336791</v>
      </c>
      <c r="M30" s="99">
        <f>L30*100/'CD Ratio_3(i)'!F30</f>
        <v>34.502881482498125</v>
      </c>
      <c r="O30" s="61">
        <v>122888</v>
      </c>
      <c r="P30" s="110">
        <v>307343.45999999996</v>
      </c>
      <c r="Q30" s="110">
        <f t="shared" si="2"/>
        <v>6024</v>
      </c>
      <c r="R30" s="110">
        <f t="shared" si="3"/>
        <v>29447.540000000037</v>
      </c>
      <c r="T30" s="110">
        <f t="shared" si="4"/>
        <v>294.47540000000038</v>
      </c>
    </row>
    <row r="31" spans="1:20">
      <c r="A31" s="57">
        <v>26</v>
      </c>
      <c r="B31" s="211" t="s">
        <v>67</v>
      </c>
      <c r="C31" s="98">
        <v>410</v>
      </c>
      <c r="D31" s="98">
        <v>831</v>
      </c>
      <c r="E31" s="98">
        <f>KCC_17!E31</f>
        <v>20</v>
      </c>
      <c r="F31" s="98">
        <f>KCC_17!F31</f>
        <v>58.59</v>
      </c>
      <c r="G31" s="98">
        <v>0</v>
      </c>
      <c r="H31" s="98">
        <v>0</v>
      </c>
      <c r="I31" s="98">
        <v>27</v>
      </c>
      <c r="J31" s="98">
        <v>184</v>
      </c>
      <c r="K31" s="98">
        <f t="shared" si="0"/>
        <v>437</v>
      </c>
      <c r="L31" s="98">
        <f t="shared" si="1"/>
        <v>1015</v>
      </c>
      <c r="M31" s="99">
        <f>L31*100/'CD Ratio_3(i)'!F31</f>
        <v>3.5112602483827446</v>
      </c>
      <c r="O31" s="61">
        <v>353</v>
      </c>
      <c r="P31" s="110">
        <v>1112</v>
      </c>
      <c r="Q31" s="110">
        <f t="shared" si="2"/>
        <v>84</v>
      </c>
      <c r="R31" s="110">
        <f t="shared" si="3"/>
        <v>-97</v>
      </c>
      <c r="T31" s="110">
        <f t="shared" si="4"/>
        <v>-0.97</v>
      </c>
    </row>
    <row r="32" spans="1:20">
      <c r="A32" s="57">
        <v>27</v>
      </c>
      <c r="B32" s="97" t="s">
        <v>50</v>
      </c>
      <c r="C32" s="98">
        <v>7810</v>
      </c>
      <c r="D32" s="98">
        <v>16160</v>
      </c>
      <c r="E32" s="98">
        <f>KCC_17!E32</f>
        <v>6369</v>
      </c>
      <c r="F32" s="98">
        <f>KCC_17!F32</f>
        <v>15576</v>
      </c>
      <c r="G32" s="98">
        <v>0</v>
      </c>
      <c r="H32" s="98">
        <v>0</v>
      </c>
      <c r="I32" s="98">
        <v>1066</v>
      </c>
      <c r="J32" s="98">
        <v>563</v>
      </c>
      <c r="K32" s="98">
        <f t="shared" si="0"/>
        <v>8876</v>
      </c>
      <c r="L32" s="98">
        <f t="shared" si="1"/>
        <v>16723</v>
      </c>
      <c r="M32" s="99">
        <f>L32*100/'CD Ratio_3(i)'!F32</f>
        <v>18.489076596497434</v>
      </c>
      <c r="O32" s="61">
        <v>8240</v>
      </c>
      <c r="P32" s="110">
        <v>15650</v>
      </c>
      <c r="Q32" s="110">
        <f t="shared" si="2"/>
        <v>636</v>
      </c>
      <c r="R32" s="110">
        <f t="shared" si="3"/>
        <v>1073</v>
      </c>
      <c r="T32" s="110">
        <f t="shared" si="4"/>
        <v>10.73</v>
      </c>
    </row>
    <row r="33" spans="1:20">
      <c r="A33" s="351"/>
      <c r="B33" s="104" t="s">
        <v>286</v>
      </c>
      <c r="C33" s="105">
        <f>SUM(C6:C32)</f>
        <v>2072658</v>
      </c>
      <c r="D33" s="105">
        <f t="shared" ref="D33:J33" si="5">SUM(D6:D32)</f>
        <v>3696694.09</v>
      </c>
      <c r="E33" s="105">
        <f t="shared" si="5"/>
        <v>1694875</v>
      </c>
      <c r="F33" s="105">
        <f t="shared" si="5"/>
        <v>2914237.2299999995</v>
      </c>
      <c r="G33" s="105">
        <f t="shared" si="5"/>
        <v>27644</v>
      </c>
      <c r="H33" s="105">
        <f t="shared" si="5"/>
        <v>244959.75</v>
      </c>
      <c r="I33" s="105">
        <f t="shared" si="5"/>
        <v>82578</v>
      </c>
      <c r="J33" s="105">
        <f t="shared" si="5"/>
        <v>381811.45</v>
      </c>
      <c r="K33" s="105">
        <f t="shared" si="0"/>
        <v>2182880</v>
      </c>
      <c r="L33" s="105">
        <f t="shared" si="1"/>
        <v>4323465.29</v>
      </c>
      <c r="M33" s="96">
        <f>L33*100/'CD Ratio_3(i)'!F33</f>
        <v>27.464992861922227</v>
      </c>
      <c r="O33" s="61">
        <v>2254364</v>
      </c>
      <c r="P33" s="110">
        <v>4317531.9499999993</v>
      </c>
      <c r="Q33" s="110">
        <f t="shared" si="2"/>
        <v>-71484</v>
      </c>
      <c r="R33" s="110">
        <f t="shared" si="3"/>
        <v>5933.3400000007823</v>
      </c>
      <c r="T33" s="110">
        <f t="shared" si="4"/>
        <v>59.333400000007821</v>
      </c>
    </row>
    <row r="34" spans="1:20">
      <c r="A34" s="57">
        <v>28</v>
      </c>
      <c r="B34" s="58" t="s">
        <v>47</v>
      </c>
      <c r="C34" s="98">
        <v>116613</v>
      </c>
      <c r="D34" s="98">
        <v>83444</v>
      </c>
      <c r="E34" s="98">
        <f>KCC_17!E34</f>
        <v>5383</v>
      </c>
      <c r="F34" s="98">
        <f>KCC_17!F34</f>
        <v>24559.5</v>
      </c>
      <c r="G34" s="98">
        <v>20</v>
      </c>
      <c r="H34" s="98">
        <v>1872</v>
      </c>
      <c r="I34" s="98">
        <v>100</v>
      </c>
      <c r="J34" s="98">
        <v>14811</v>
      </c>
      <c r="K34" s="98">
        <f t="shared" si="0"/>
        <v>116733</v>
      </c>
      <c r="L34" s="98">
        <f t="shared" si="1"/>
        <v>100127</v>
      </c>
      <c r="M34" s="99">
        <f>L34*100/'CD Ratio_3(i)'!F34</f>
        <v>15.92754523451798</v>
      </c>
      <c r="O34" s="61">
        <v>94666</v>
      </c>
      <c r="P34" s="110">
        <v>77662.73</v>
      </c>
      <c r="Q34" s="110">
        <f t="shared" si="2"/>
        <v>22067</v>
      </c>
      <c r="R34" s="110">
        <f t="shared" si="3"/>
        <v>22464.270000000004</v>
      </c>
      <c r="T34" s="110">
        <f t="shared" si="4"/>
        <v>224.64270000000005</v>
      </c>
    </row>
    <row r="35" spans="1:20">
      <c r="A35" s="57">
        <v>29</v>
      </c>
      <c r="B35" s="58" t="s">
        <v>214</v>
      </c>
      <c r="C35" s="98">
        <v>0</v>
      </c>
      <c r="D35" s="98">
        <v>0</v>
      </c>
      <c r="E35" s="98">
        <f>KCC_17!E35</f>
        <v>0</v>
      </c>
      <c r="F35" s="98">
        <f>KCC_17!F35</f>
        <v>0</v>
      </c>
      <c r="G35" s="98">
        <v>0</v>
      </c>
      <c r="H35" s="98">
        <v>0</v>
      </c>
      <c r="I35" s="98">
        <v>89298</v>
      </c>
      <c r="J35" s="98">
        <v>27066.66</v>
      </c>
      <c r="K35" s="98">
        <f t="shared" si="0"/>
        <v>89298</v>
      </c>
      <c r="L35" s="98">
        <f t="shared" si="1"/>
        <v>27066.66</v>
      </c>
      <c r="M35" s="99">
        <f>L35*100/'CD Ratio_3(i)'!F35</f>
        <v>36.541596272324242</v>
      </c>
      <c r="O35" s="61">
        <v>45409</v>
      </c>
      <c r="P35" s="110">
        <v>19056</v>
      </c>
      <c r="Q35" s="110">
        <f t="shared" si="2"/>
        <v>43889</v>
      </c>
      <c r="R35" s="110">
        <f t="shared" si="3"/>
        <v>8010.66</v>
      </c>
      <c r="T35" s="110">
        <f t="shared" si="4"/>
        <v>80.1066</v>
      </c>
    </row>
    <row r="36" spans="1:20">
      <c r="A36" s="57">
        <v>30</v>
      </c>
      <c r="B36" s="58" t="s">
        <v>215</v>
      </c>
      <c r="C36" s="98">
        <v>55</v>
      </c>
      <c r="D36" s="98">
        <v>44.9</v>
      </c>
      <c r="E36" s="98">
        <f>KCC_17!E36</f>
        <v>0</v>
      </c>
      <c r="F36" s="98">
        <f>KCC_17!F36</f>
        <v>0</v>
      </c>
      <c r="G36" s="98">
        <v>2</v>
      </c>
      <c r="H36" s="98">
        <v>11.86</v>
      </c>
      <c r="I36" s="98">
        <v>0</v>
      </c>
      <c r="J36" s="98">
        <v>0</v>
      </c>
      <c r="K36" s="98">
        <f t="shared" si="0"/>
        <v>57</v>
      </c>
      <c r="L36" s="98">
        <f t="shared" si="1"/>
        <v>56.76</v>
      </c>
      <c r="M36" s="99">
        <f>L36*100/'CD Ratio_3(i)'!F36</f>
        <v>8.3710640808199983</v>
      </c>
      <c r="O36" s="61">
        <v>0</v>
      </c>
      <c r="P36" s="110">
        <v>0</v>
      </c>
      <c r="Q36" s="110">
        <f t="shared" si="2"/>
        <v>57</v>
      </c>
      <c r="R36" s="110">
        <f t="shared" si="3"/>
        <v>56.76</v>
      </c>
      <c r="T36" s="110">
        <f t="shared" si="4"/>
        <v>0.56759999999999999</v>
      </c>
    </row>
    <row r="37" spans="1:20">
      <c r="A37" s="57">
        <v>31</v>
      </c>
      <c r="B37" s="58" t="s">
        <v>78</v>
      </c>
      <c r="C37" s="98">
        <v>0</v>
      </c>
      <c r="D37" s="98">
        <v>0</v>
      </c>
      <c r="E37" s="98">
        <f>KCC_17!E37</f>
        <v>0</v>
      </c>
      <c r="F37" s="98">
        <f>KCC_17!F37</f>
        <v>0</v>
      </c>
      <c r="G37" s="98">
        <v>0</v>
      </c>
      <c r="H37" s="98">
        <v>0</v>
      </c>
      <c r="I37" s="98">
        <v>0</v>
      </c>
      <c r="J37" s="98">
        <v>0</v>
      </c>
      <c r="K37" s="98">
        <f t="shared" si="0"/>
        <v>0</v>
      </c>
      <c r="L37" s="98">
        <f t="shared" si="1"/>
        <v>0</v>
      </c>
      <c r="M37" s="99">
        <f>L37*100/'CD Ratio_3(i)'!F37</f>
        <v>0</v>
      </c>
      <c r="O37" s="61">
        <v>0</v>
      </c>
      <c r="P37" s="110">
        <v>0</v>
      </c>
      <c r="Q37" s="110">
        <f t="shared" si="2"/>
        <v>0</v>
      </c>
      <c r="R37" s="110">
        <f t="shared" si="3"/>
        <v>0</v>
      </c>
      <c r="T37" s="110">
        <f t="shared" si="4"/>
        <v>0</v>
      </c>
    </row>
    <row r="38" spans="1:20">
      <c r="A38" s="57">
        <v>32</v>
      </c>
      <c r="B38" s="97" t="s">
        <v>51</v>
      </c>
      <c r="C38" s="98">
        <v>0</v>
      </c>
      <c r="D38" s="98">
        <v>0</v>
      </c>
      <c r="E38" s="98">
        <f>KCC_17!E38</f>
        <v>0</v>
      </c>
      <c r="F38" s="98">
        <f>KCC_17!F38</f>
        <v>0</v>
      </c>
      <c r="G38" s="98">
        <v>2</v>
      </c>
      <c r="H38" s="98">
        <v>129.36000000000001</v>
      </c>
      <c r="I38" s="98">
        <v>8</v>
      </c>
      <c r="J38" s="98">
        <v>192.33</v>
      </c>
      <c r="K38" s="98">
        <f t="shared" si="0"/>
        <v>10</v>
      </c>
      <c r="L38" s="98">
        <f t="shared" si="1"/>
        <v>321.69000000000005</v>
      </c>
      <c r="M38" s="99">
        <f>L38*100/'CD Ratio_3(i)'!F38</f>
        <v>3.417667457099876</v>
      </c>
      <c r="O38" s="61">
        <v>9</v>
      </c>
      <c r="P38" s="110">
        <v>254.25</v>
      </c>
      <c r="Q38" s="110">
        <f t="shared" si="2"/>
        <v>1</v>
      </c>
      <c r="R38" s="110">
        <f t="shared" si="3"/>
        <v>67.440000000000055</v>
      </c>
      <c r="T38" s="110">
        <f t="shared" si="4"/>
        <v>0.67440000000000055</v>
      </c>
    </row>
    <row r="39" spans="1:20">
      <c r="A39" s="57">
        <v>33</v>
      </c>
      <c r="B39" s="97" t="s">
        <v>216</v>
      </c>
      <c r="C39" s="98">
        <v>22235</v>
      </c>
      <c r="D39" s="98">
        <v>26965</v>
      </c>
      <c r="E39" s="98">
        <f>KCC_17!E39</f>
        <v>0</v>
      </c>
      <c r="F39" s="98">
        <f>KCC_17!F39</f>
        <v>0</v>
      </c>
      <c r="G39" s="98">
        <v>1</v>
      </c>
      <c r="H39" s="98">
        <v>147</v>
      </c>
      <c r="I39" s="98">
        <v>20</v>
      </c>
      <c r="J39" s="98">
        <v>949</v>
      </c>
      <c r="K39" s="98">
        <f t="shared" si="0"/>
        <v>22256</v>
      </c>
      <c r="L39" s="98">
        <f t="shared" si="1"/>
        <v>28061</v>
      </c>
      <c r="M39" s="99">
        <f>L39*100/'CD Ratio_3(i)'!F39</f>
        <v>49.772740374169118</v>
      </c>
      <c r="O39" s="61">
        <v>0</v>
      </c>
      <c r="P39" s="110">
        <v>0</v>
      </c>
      <c r="Q39" s="110">
        <f t="shared" si="2"/>
        <v>22256</v>
      </c>
      <c r="R39" s="110">
        <f t="shared" si="3"/>
        <v>28061</v>
      </c>
      <c r="T39" s="110">
        <f t="shared" si="4"/>
        <v>280.61</v>
      </c>
    </row>
    <row r="40" spans="1:20">
      <c r="A40" s="57">
        <v>34</v>
      </c>
      <c r="B40" s="97" t="s">
        <v>217</v>
      </c>
      <c r="C40" s="98">
        <v>0</v>
      </c>
      <c r="D40" s="98">
        <v>0</v>
      </c>
      <c r="E40" s="98">
        <f>KCC_17!E40</f>
        <v>0</v>
      </c>
      <c r="F40" s="98">
        <f>KCC_17!F40</f>
        <v>0</v>
      </c>
      <c r="G40" s="98">
        <v>0</v>
      </c>
      <c r="H40" s="98">
        <v>0</v>
      </c>
      <c r="I40" s="98">
        <v>0</v>
      </c>
      <c r="J40" s="98">
        <v>0</v>
      </c>
      <c r="K40" s="98">
        <f t="shared" si="0"/>
        <v>0</v>
      </c>
      <c r="L40" s="98">
        <f t="shared" si="1"/>
        <v>0</v>
      </c>
      <c r="M40" s="99">
        <f>L40*100/'CD Ratio_3(i)'!F40</f>
        <v>0</v>
      </c>
      <c r="O40" s="61">
        <v>0</v>
      </c>
      <c r="P40" s="110">
        <v>0</v>
      </c>
      <c r="Q40" s="110">
        <f t="shared" si="2"/>
        <v>0</v>
      </c>
      <c r="R40" s="110">
        <f t="shared" si="3"/>
        <v>0</v>
      </c>
      <c r="T40" s="110">
        <f t="shared" si="4"/>
        <v>0</v>
      </c>
    </row>
    <row r="41" spans="1:20">
      <c r="A41" s="57">
        <v>35</v>
      </c>
      <c r="B41" s="97" t="s">
        <v>218</v>
      </c>
      <c r="C41" s="98">
        <v>2756</v>
      </c>
      <c r="D41" s="98">
        <v>4604</v>
      </c>
      <c r="E41" s="98">
        <f>KCC_17!E41</f>
        <v>149</v>
      </c>
      <c r="F41" s="98">
        <f>KCC_17!F41</f>
        <v>667</v>
      </c>
      <c r="G41" s="98">
        <v>2</v>
      </c>
      <c r="H41" s="98">
        <v>512</v>
      </c>
      <c r="I41" s="98">
        <v>17</v>
      </c>
      <c r="J41" s="98">
        <v>1237</v>
      </c>
      <c r="K41" s="98">
        <f t="shared" si="0"/>
        <v>2775</v>
      </c>
      <c r="L41" s="98">
        <f t="shared" si="1"/>
        <v>6353</v>
      </c>
      <c r="M41" s="99">
        <f>L41*100/'CD Ratio_3(i)'!F41</f>
        <v>34.594859507732522</v>
      </c>
      <c r="O41" s="61">
        <v>2600</v>
      </c>
      <c r="P41" s="110">
        <v>4801.13</v>
      </c>
      <c r="Q41" s="110">
        <f t="shared" si="2"/>
        <v>175</v>
      </c>
      <c r="R41" s="110">
        <f t="shared" si="3"/>
        <v>1551.87</v>
      </c>
      <c r="T41" s="110">
        <f t="shared" si="4"/>
        <v>15.518699999999999</v>
      </c>
    </row>
    <row r="42" spans="1:20">
      <c r="A42" s="57">
        <v>36</v>
      </c>
      <c r="B42" s="97" t="s">
        <v>71</v>
      </c>
      <c r="C42" s="98">
        <v>129636</v>
      </c>
      <c r="D42" s="98">
        <v>298051</v>
      </c>
      <c r="E42" s="98">
        <f>KCC_17!E42</f>
        <v>129109</v>
      </c>
      <c r="F42" s="98">
        <f>KCC_17!F42</f>
        <v>293915</v>
      </c>
      <c r="G42" s="98">
        <v>146</v>
      </c>
      <c r="H42" s="98">
        <v>2066</v>
      </c>
      <c r="I42" s="98">
        <v>1161</v>
      </c>
      <c r="J42" s="98">
        <v>64170</v>
      </c>
      <c r="K42" s="98">
        <f t="shared" si="0"/>
        <v>130943</v>
      </c>
      <c r="L42" s="98">
        <f t="shared" si="1"/>
        <v>364287</v>
      </c>
      <c r="M42" s="99">
        <f>L42*100/'CD Ratio_3(i)'!F42</f>
        <v>27.777210132219054</v>
      </c>
      <c r="O42" s="61">
        <v>122064</v>
      </c>
      <c r="P42" s="110">
        <v>318970</v>
      </c>
      <c r="Q42" s="110">
        <f t="shared" si="2"/>
        <v>8879</v>
      </c>
      <c r="R42" s="110">
        <f t="shared" si="3"/>
        <v>45317</v>
      </c>
      <c r="T42" s="110">
        <f t="shared" si="4"/>
        <v>453.17</v>
      </c>
    </row>
    <row r="43" spans="1:20">
      <c r="A43" s="57">
        <v>37</v>
      </c>
      <c r="B43" s="97" t="s">
        <v>72</v>
      </c>
      <c r="C43" s="98">
        <v>104266</v>
      </c>
      <c r="D43" s="98">
        <v>254357</v>
      </c>
      <c r="E43" s="98">
        <f>KCC_17!E43</f>
        <v>66780</v>
      </c>
      <c r="F43" s="98">
        <f>KCC_17!F43</f>
        <v>170170</v>
      </c>
      <c r="G43" s="98">
        <v>234</v>
      </c>
      <c r="H43" s="98">
        <v>572</v>
      </c>
      <c r="I43" s="98">
        <v>21217</v>
      </c>
      <c r="J43" s="98">
        <v>51758</v>
      </c>
      <c r="K43" s="98">
        <f t="shared" si="0"/>
        <v>125717</v>
      </c>
      <c r="L43" s="98">
        <f t="shared" si="1"/>
        <v>306687</v>
      </c>
      <c r="M43" s="99">
        <f>L43*100/'CD Ratio_3(i)'!F43</f>
        <v>27.586464339362976</v>
      </c>
      <c r="O43" s="61">
        <v>119793</v>
      </c>
      <c r="P43" s="110">
        <v>254027.57</v>
      </c>
      <c r="Q43" s="110">
        <f t="shared" si="2"/>
        <v>5924</v>
      </c>
      <c r="R43" s="110">
        <f t="shared" si="3"/>
        <v>52659.429999999993</v>
      </c>
      <c r="T43" s="110">
        <f t="shared" si="4"/>
        <v>526.59429999999998</v>
      </c>
    </row>
    <row r="44" spans="1:20">
      <c r="A44" s="57">
        <v>38</v>
      </c>
      <c r="B44" s="97" t="s">
        <v>219</v>
      </c>
      <c r="C44" s="98">
        <v>59761</v>
      </c>
      <c r="D44" s="98">
        <v>9631</v>
      </c>
      <c r="E44" s="98">
        <f>KCC_17!E44</f>
        <v>0</v>
      </c>
      <c r="F44" s="98">
        <f>KCC_17!F44</f>
        <v>0</v>
      </c>
      <c r="G44" s="98">
        <v>0</v>
      </c>
      <c r="H44" s="98">
        <v>0</v>
      </c>
      <c r="I44" s="98">
        <v>0</v>
      </c>
      <c r="J44" s="98">
        <v>0</v>
      </c>
      <c r="K44" s="98">
        <f t="shared" si="0"/>
        <v>59761</v>
      </c>
      <c r="L44" s="98">
        <f t="shared" si="1"/>
        <v>9631</v>
      </c>
      <c r="M44" s="99">
        <f>L44*100/'CD Ratio_3(i)'!F44</f>
        <v>50.984647961884598</v>
      </c>
      <c r="O44" s="61">
        <v>0</v>
      </c>
      <c r="P44" s="110">
        <v>0</v>
      </c>
      <c r="Q44" s="110">
        <f t="shared" si="2"/>
        <v>59761</v>
      </c>
      <c r="R44" s="110">
        <f t="shared" si="3"/>
        <v>9631</v>
      </c>
      <c r="T44" s="110">
        <f t="shared" si="4"/>
        <v>96.31</v>
      </c>
    </row>
    <row r="45" spans="1:20">
      <c r="A45" s="57">
        <v>39</v>
      </c>
      <c r="B45" s="97" t="s">
        <v>220</v>
      </c>
      <c r="C45" s="98">
        <v>0</v>
      </c>
      <c r="D45" s="98">
        <v>0</v>
      </c>
      <c r="E45" s="98">
        <f>KCC_17!E45</f>
        <v>267</v>
      </c>
      <c r="F45" s="98">
        <f>KCC_17!F45</f>
        <v>2396</v>
      </c>
      <c r="G45" s="98">
        <v>0</v>
      </c>
      <c r="H45" s="98">
        <v>0</v>
      </c>
      <c r="I45" s="98">
        <v>29227</v>
      </c>
      <c r="J45" s="98">
        <v>67610</v>
      </c>
      <c r="K45" s="98">
        <f t="shared" si="0"/>
        <v>29227</v>
      </c>
      <c r="L45" s="98">
        <f t="shared" si="1"/>
        <v>67610</v>
      </c>
      <c r="M45" s="99">
        <f>L45*100/'CD Ratio_3(i)'!F45</f>
        <v>23.28168044077135</v>
      </c>
      <c r="O45" s="61">
        <v>0</v>
      </c>
      <c r="P45" s="110">
        <v>54034.072609699972</v>
      </c>
      <c r="Q45" s="110">
        <f t="shared" si="2"/>
        <v>29227</v>
      </c>
      <c r="R45" s="110">
        <f t="shared" si="3"/>
        <v>13575.927390300028</v>
      </c>
      <c r="T45" s="110">
        <f t="shared" si="4"/>
        <v>135.75927390300029</v>
      </c>
    </row>
    <row r="46" spans="1:20">
      <c r="A46" s="57">
        <v>40</v>
      </c>
      <c r="B46" s="97" t="s">
        <v>221</v>
      </c>
      <c r="C46" s="98">
        <v>0</v>
      </c>
      <c r="D46" s="98">
        <v>0</v>
      </c>
      <c r="E46" s="98">
        <f>KCC_17!E46</f>
        <v>0</v>
      </c>
      <c r="F46" s="98">
        <f>KCC_17!F46</f>
        <v>0</v>
      </c>
      <c r="G46" s="98">
        <v>0</v>
      </c>
      <c r="H46" s="98">
        <v>0</v>
      </c>
      <c r="I46" s="98">
        <v>7</v>
      </c>
      <c r="J46" s="98">
        <v>29</v>
      </c>
      <c r="K46" s="98">
        <f t="shared" si="0"/>
        <v>7</v>
      </c>
      <c r="L46" s="98">
        <f t="shared" si="1"/>
        <v>29</v>
      </c>
      <c r="M46" s="99">
        <f>L46*100/'CD Ratio_3(i)'!F46</f>
        <v>0.89950372208436724</v>
      </c>
      <c r="O46" s="61">
        <v>0</v>
      </c>
      <c r="P46" s="110">
        <v>0</v>
      </c>
      <c r="Q46" s="110">
        <f t="shared" si="2"/>
        <v>7</v>
      </c>
      <c r="R46" s="110">
        <f t="shared" si="3"/>
        <v>29</v>
      </c>
      <c r="T46" s="110">
        <f t="shared" si="4"/>
        <v>0.28999999999999998</v>
      </c>
    </row>
    <row r="47" spans="1:20">
      <c r="A47" s="57">
        <v>41</v>
      </c>
      <c r="B47" s="97" t="s">
        <v>222</v>
      </c>
      <c r="C47" s="98">
        <v>684</v>
      </c>
      <c r="D47" s="98">
        <v>4334</v>
      </c>
      <c r="E47" s="98">
        <f>KCC_17!E47</f>
        <v>15</v>
      </c>
      <c r="F47" s="98">
        <f>KCC_17!F47</f>
        <v>56</v>
      </c>
      <c r="G47" s="98">
        <v>47</v>
      </c>
      <c r="H47" s="98">
        <v>772.95</v>
      </c>
      <c r="I47" s="98">
        <v>62</v>
      </c>
      <c r="J47" s="98">
        <v>1178.02</v>
      </c>
      <c r="K47" s="98">
        <f t="shared" si="0"/>
        <v>793</v>
      </c>
      <c r="L47" s="98">
        <f t="shared" si="1"/>
        <v>6284.9699999999993</v>
      </c>
      <c r="M47" s="99">
        <f>L47*100/'CD Ratio_3(i)'!F47</f>
        <v>17.711125514287321</v>
      </c>
      <c r="O47" s="61">
        <v>31</v>
      </c>
      <c r="P47" s="110">
        <v>460.88</v>
      </c>
      <c r="Q47" s="110">
        <f t="shared" si="2"/>
        <v>762</v>
      </c>
      <c r="R47" s="110">
        <f t="shared" si="3"/>
        <v>5824.0899999999992</v>
      </c>
      <c r="T47" s="110">
        <f t="shared" si="4"/>
        <v>58.240899999999989</v>
      </c>
    </row>
    <row r="48" spans="1:20">
      <c r="A48" s="57">
        <v>42</v>
      </c>
      <c r="B48" s="106" t="s">
        <v>223</v>
      </c>
      <c r="C48" s="98">
        <v>0</v>
      </c>
      <c r="D48" s="98">
        <v>0</v>
      </c>
      <c r="E48" s="98">
        <f>KCC_17!E48</f>
        <v>0</v>
      </c>
      <c r="F48" s="98">
        <f>KCC_17!F48</f>
        <v>0</v>
      </c>
      <c r="G48" s="98">
        <v>0</v>
      </c>
      <c r="H48" s="98">
        <v>0</v>
      </c>
      <c r="I48" s="98">
        <v>0</v>
      </c>
      <c r="J48" s="98">
        <v>0</v>
      </c>
      <c r="K48" s="98">
        <f t="shared" si="0"/>
        <v>0</v>
      </c>
      <c r="L48" s="98">
        <f t="shared" si="1"/>
        <v>0</v>
      </c>
      <c r="M48" s="99">
        <f>L48*100/'CD Ratio_3(i)'!F48</f>
        <v>0</v>
      </c>
      <c r="O48" s="61">
        <v>0</v>
      </c>
      <c r="P48" s="110">
        <v>0</v>
      </c>
      <c r="Q48" s="110">
        <f t="shared" si="2"/>
        <v>0</v>
      </c>
      <c r="R48" s="110">
        <f t="shared" si="3"/>
        <v>0</v>
      </c>
      <c r="T48" s="110">
        <f t="shared" si="4"/>
        <v>0</v>
      </c>
    </row>
    <row r="49" spans="1:23">
      <c r="A49" s="57">
        <v>43</v>
      </c>
      <c r="B49" s="97" t="s">
        <v>73</v>
      </c>
      <c r="C49" s="98">
        <v>33235</v>
      </c>
      <c r="D49" s="98">
        <v>76919</v>
      </c>
      <c r="E49" s="98">
        <f>KCC_17!E49</f>
        <v>101</v>
      </c>
      <c r="F49" s="98">
        <f>KCC_17!F49</f>
        <v>16</v>
      </c>
      <c r="G49" s="98">
        <v>590</v>
      </c>
      <c r="H49" s="98">
        <v>2150</v>
      </c>
      <c r="I49" s="98">
        <v>73</v>
      </c>
      <c r="J49" s="98">
        <v>8926</v>
      </c>
      <c r="K49" s="98">
        <f t="shared" si="0"/>
        <v>33898</v>
      </c>
      <c r="L49" s="98">
        <f t="shared" si="1"/>
        <v>87995</v>
      </c>
      <c r="M49" s="99">
        <f>L49*100/'CD Ratio_3(i)'!F49</f>
        <v>37.994550926385692</v>
      </c>
      <c r="O49" s="61">
        <v>30459</v>
      </c>
      <c r="P49" s="110">
        <v>83869</v>
      </c>
      <c r="Q49" s="110">
        <f t="shared" si="2"/>
        <v>3439</v>
      </c>
      <c r="R49" s="110">
        <f t="shared" si="3"/>
        <v>4126</v>
      </c>
      <c r="T49" s="110">
        <f t="shared" si="4"/>
        <v>41.26</v>
      </c>
    </row>
    <row r="50" spans="1:23">
      <c r="A50" s="57">
        <v>44</v>
      </c>
      <c r="B50" s="97" t="s">
        <v>224</v>
      </c>
      <c r="C50" s="98">
        <v>0</v>
      </c>
      <c r="D50" s="98">
        <v>0</v>
      </c>
      <c r="E50" s="98">
        <f>KCC_17!E50</f>
        <v>0</v>
      </c>
      <c r="F50" s="98">
        <f>KCC_17!F50</f>
        <v>0</v>
      </c>
      <c r="G50" s="98">
        <v>0</v>
      </c>
      <c r="H50" s="98">
        <v>0</v>
      </c>
      <c r="I50" s="98">
        <v>0</v>
      </c>
      <c r="J50" s="98">
        <v>0</v>
      </c>
      <c r="K50" s="98">
        <f t="shared" si="0"/>
        <v>0</v>
      </c>
      <c r="L50" s="98">
        <f t="shared" si="1"/>
        <v>0</v>
      </c>
      <c r="M50" s="99">
        <f>L50*100/'CD Ratio_3(i)'!F50</f>
        <v>0</v>
      </c>
      <c r="O50" s="61">
        <v>10</v>
      </c>
      <c r="P50" s="110">
        <v>78</v>
      </c>
      <c r="Q50" s="110">
        <f t="shared" si="2"/>
        <v>-10</v>
      </c>
      <c r="R50" s="110">
        <f t="shared" si="3"/>
        <v>-78</v>
      </c>
      <c r="T50" s="110">
        <f t="shared" si="4"/>
        <v>-0.78</v>
      </c>
    </row>
    <row r="51" spans="1:23">
      <c r="A51" s="57">
        <v>45</v>
      </c>
      <c r="B51" s="97" t="s">
        <v>225</v>
      </c>
      <c r="C51" s="98">
        <v>12220</v>
      </c>
      <c r="D51" s="98">
        <v>13482</v>
      </c>
      <c r="E51" s="98">
        <f>KCC_17!E51</f>
        <v>2800</v>
      </c>
      <c r="F51" s="98">
        <f>KCC_17!F51</f>
        <v>5670</v>
      </c>
      <c r="G51" s="98">
        <v>287</v>
      </c>
      <c r="H51" s="98">
        <v>6821</v>
      </c>
      <c r="I51" s="98">
        <v>19</v>
      </c>
      <c r="J51" s="98">
        <v>3263</v>
      </c>
      <c r="K51" s="98">
        <f t="shared" si="0"/>
        <v>12526</v>
      </c>
      <c r="L51" s="98">
        <f t="shared" si="1"/>
        <v>23566</v>
      </c>
      <c r="M51" s="99">
        <f>L51*100/'CD Ratio_3(i)'!F51</f>
        <v>34.197237055955419</v>
      </c>
      <c r="O51" s="61">
        <v>2584</v>
      </c>
      <c r="P51" s="110">
        <v>14370</v>
      </c>
      <c r="Q51" s="110">
        <f t="shared" si="2"/>
        <v>9942</v>
      </c>
      <c r="R51" s="110">
        <f t="shared" si="3"/>
        <v>9196</v>
      </c>
      <c r="T51" s="110">
        <f t="shared" si="4"/>
        <v>91.96</v>
      </c>
    </row>
    <row r="52" spans="1:23">
      <c r="A52" s="57">
        <v>46</v>
      </c>
      <c r="B52" s="97" t="s">
        <v>226</v>
      </c>
      <c r="C52" s="98">
        <v>5</v>
      </c>
      <c r="D52" s="98">
        <v>7.5</v>
      </c>
      <c r="E52" s="98">
        <f>KCC_17!E52</f>
        <v>0</v>
      </c>
      <c r="F52" s="98">
        <f>KCC_17!F52</f>
        <v>0</v>
      </c>
      <c r="G52" s="98">
        <v>0</v>
      </c>
      <c r="H52" s="98">
        <v>0</v>
      </c>
      <c r="I52" s="98">
        <v>0</v>
      </c>
      <c r="J52" s="98">
        <v>0</v>
      </c>
      <c r="K52" s="98">
        <f t="shared" si="0"/>
        <v>5</v>
      </c>
      <c r="L52" s="98">
        <f t="shared" si="1"/>
        <v>7.5</v>
      </c>
      <c r="M52" s="99">
        <f>L52*100/'CD Ratio_3(i)'!F52</f>
        <v>0.12583470353343848</v>
      </c>
      <c r="O52" s="61">
        <v>0</v>
      </c>
      <c r="P52" s="110">
        <v>6.36</v>
      </c>
      <c r="Q52" s="110">
        <f t="shared" si="2"/>
        <v>5</v>
      </c>
      <c r="R52" s="110">
        <f t="shared" si="3"/>
        <v>1.1399999999999997</v>
      </c>
      <c r="T52" s="110">
        <f t="shared" si="4"/>
        <v>1.1399999999999997E-2</v>
      </c>
    </row>
    <row r="53" spans="1:23">
      <c r="A53" s="57">
        <v>47</v>
      </c>
      <c r="B53" s="97" t="s">
        <v>77</v>
      </c>
      <c r="C53" s="98">
        <v>0</v>
      </c>
      <c r="D53" s="98">
        <v>0</v>
      </c>
      <c r="E53" s="98">
        <f>KCC_17!E53</f>
        <v>0</v>
      </c>
      <c r="F53" s="98">
        <f>KCC_17!F53</f>
        <v>0</v>
      </c>
      <c r="G53" s="98">
        <v>0</v>
      </c>
      <c r="H53" s="98">
        <v>0</v>
      </c>
      <c r="I53" s="98">
        <v>0</v>
      </c>
      <c r="J53" s="98">
        <v>0</v>
      </c>
      <c r="K53" s="98">
        <f t="shared" si="0"/>
        <v>0</v>
      </c>
      <c r="L53" s="98">
        <f t="shared" si="1"/>
        <v>0</v>
      </c>
      <c r="M53" s="99">
        <f>L53*100/'CD Ratio_3(i)'!F53</f>
        <v>0</v>
      </c>
      <c r="O53" s="61">
        <v>0</v>
      </c>
      <c r="P53" s="110">
        <v>0</v>
      </c>
      <c r="Q53" s="110">
        <f t="shared" si="2"/>
        <v>0</v>
      </c>
      <c r="R53" s="110">
        <f t="shared" si="3"/>
        <v>0</v>
      </c>
      <c r="T53" s="110">
        <f t="shared" si="4"/>
        <v>0</v>
      </c>
    </row>
    <row r="54" spans="1:23">
      <c r="A54" s="57">
        <v>48</v>
      </c>
      <c r="B54" s="97" t="s">
        <v>227</v>
      </c>
      <c r="C54" s="98">
        <v>0</v>
      </c>
      <c r="D54" s="98">
        <v>0</v>
      </c>
      <c r="E54" s="98">
        <f>KCC_17!E54</f>
        <v>0</v>
      </c>
      <c r="F54" s="98">
        <f>KCC_17!F54</f>
        <v>0</v>
      </c>
      <c r="G54" s="98">
        <v>0</v>
      </c>
      <c r="H54" s="98">
        <v>0</v>
      </c>
      <c r="I54" s="98">
        <v>0</v>
      </c>
      <c r="J54" s="98">
        <v>0</v>
      </c>
      <c r="K54" s="98">
        <f t="shared" si="0"/>
        <v>0</v>
      </c>
      <c r="L54" s="98">
        <f t="shared" si="1"/>
        <v>0</v>
      </c>
      <c r="M54" s="99">
        <f>L54*100/'CD Ratio_3(i)'!F54</f>
        <v>0</v>
      </c>
      <c r="O54" s="61">
        <v>0</v>
      </c>
      <c r="P54" s="110">
        <v>0</v>
      </c>
      <c r="Q54" s="110">
        <f t="shared" si="2"/>
        <v>0</v>
      </c>
      <c r="R54" s="110">
        <f t="shared" si="3"/>
        <v>0</v>
      </c>
      <c r="T54" s="110">
        <f t="shared" si="4"/>
        <v>0</v>
      </c>
    </row>
    <row r="55" spans="1:23">
      <c r="A55" s="57">
        <v>49</v>
      </c>
      <c r="B55" s="58" t="s">
        <v>76</v>
      </c>
      <c r="C55" s="98">
        <v>15694</v>
      </c>
      <c r="D55" s="98">
        <v>7855.91</v>
      </c>
      <c r="E55" s="98">
        <f>KCC_17!E55</f>
        <v>15430</v>
      </c>
      <c r="F55" s="98">
        <f>KCC_17!F55</f>
        <v>5090</v>
      </c>
      <c r="G55" s="98">
        <v>17</v>
      </c>
      <c r="H55" s="98">
        <v>2655.29</v>
      </c>
      <c r="I55" s="98">
        <v>80</v>
      </c>
      <c r="J55" s="98">
        <v>15987.68</v>
      </c>
      <c r="K55" s="98">
        <f t="shared" si="0"/>
        <v>15791</v>
      </c>
      <c r="L55" s="98">
        <f t="shared" si="1"/>
        <v>26498.880000000001</v>
      </c>
      <c r="M55" s="99">
        <f>L55*100/'CD Ratio_3(i)'!F55</f>
        <v>29.360696442995184</v>
      </c>
      <c r="O55" s="61">
        <v>10810</v>
      </c>
      <c r="P55" s="110">
        <v>27396</v>
      </c>
      <c r="Q55" s="110">
        <f t="shared" si="2"/>
        <v>4981</v>
      </c>
      <c r="R55" s="110">
        <f t="shared" si="3"/>
        <v>-897.11999999999898</v>
      </c>
      <c r="T55" s="110">
        <f t="shared" si="4"/>
        <v>-8.971199999999989</v>
      </c>
    </row>
    <row r="56" spans="1:23" s="107" customFormat="1">
      <c r="A56" s="57"/>
      <c r="B56" s="59" t="s">
        <v>287</v>
      </c>
      <c r="C56" s="105">
        <f>SUM(C34:C55)</f>
        <v>497160</v>
      </c>
      <c r="D56" s="105">
        <f t="shared" ref="D56:J56" si="6">SUM(D34:D55)</f>
        <v>779695.31</v>
      </c>
      <c r="E56" s="105">
        <f t="shared" si="6"/>
        <v>220034</v>
      </c>
      <c r="F56" s="105">
        <f t="shared" si="6"/>
        <v>502539.5</v>
      </c>
      <c r="G56" s="105">
        <f t="shared" si="6"/>
        <v>1348</v>
      </c>
      <c r="H56" s="105">
        <f t="shared" si="6"/>
        <v>17709.46</v>
      </c>
      <c r="I56" s="105">
        <f t="shared" si="6"/>
        <v>141289</v>
      </c>
      <c r="J56" s="105">
        <f t="shared" si="6"/>
        <v>257177.68999999997</v>
      </c>
      <c r="K56" s="105">
        <f t="shared" si="0"/>
        <v>639797</v>
      </c>
      <c r="L56" s="105">
        <f t="shared" si="1"/>
        <v>1054582.46</v>
      </c>
      <c r="M56" s="96">
        <f>L56*100/'CD Ratio_3(i)'!F56</f>
        <v>26.468494543469003</v>
      </c>
      <c r="O56" s="107">
        <v>428435</v>
      </c>
      <c r="P56" s="111">
        <v>854985.99260969996</v>
      </c>
      <c r="Q56" s="110">
        <f t="shared" si="2"/>
        <v>211362</v>
      </c>
      <c r="R56" s="110">
        <f t="shared" si="3"/>
        <v>199596.46739030001</v>
      </c>
      <c r="T56" s="110">
        <f t="shared" si="4"/>
        <v>1995.9646739030002</v>
      </c>
      <c r="W56" s="108"/>
    </row>
    <row r="57" spans="1:23">
      <c r="A57" s="57">
        <v>50</v>
      </c>
      <c r="B57" s="58" t="s">
        <v>46</v>
      </c>
      <c r="C57" s="98">
        <v>162528</v>
      </c>
      <c r="D57" s="98">
        <v>237854.53</v>
      </c>
      <c r="E57" s="98">
        <f>KCC_17!E57</f>
        <v>126034</v>
      </c>
      <c r="F57" s="98">
        <f>KCC_17!F57</f>
        <v>207079.08</v>
      </c>
      <c r="G57" s="98">
        <v>86</v>
      </c>
      <c r="H57" s="98">
        <v>5155.4799999999996</v>
      </c>
      <c r="I57" s="98">
        <v>175</v>
      </c>
      <c r="J57" s="98">
        <v>99.48</v>
      </c>
      <c r="K57" s="98">
        <f t="shared" si="0"/>
        <v>162789</v>
      </c>
      <c r="L57" s="98">
        <f t="shared" si="1"/>
        <v>243109.49000000002</v>
      </c>
      <c r="M57" s="99">
        <f>L57*100/'CD Ratio_3(i)'!F57</f>
        <v>60.762506952674038</v>
      </c>
      <c r="O57" s="61">
        <v>164143</v>
      </c>
      <c r="P57" s="110">
        <v>245067.59000000003</v>
      </c>
      <c r="Q57" s="110">
        <f t="shared" si="2"/>
        <v>-1354</v>
      </c>
      <c r="R57" s="110">
        <f t="shared" si="3"/>
        <v>-1958.1000000000058</v>
      </c>
      <c r="T57" s="110">
        <f t="shared" si="4"/>
        <v>-19.58100000000006</v>
      </c>
    </row>
    <row r="58" spans="1:23">
      <c r="A58" s="57">
        <v>51</v>
      </c>
      <c r="B58" s="58" t="s">
        <v>228</v>
      </c>
      <c r="C58" s="98">
        <v>220599</v>
      </c>
      <c r="D58" s="98">
        <v>166423</v>
      </c>
      <c r="E58" s="98">
        <f>KCC_17!E58</f>
        <v>194436</v>
      </c>
      <c r="F58" s="98">
        <f>KCC_17!F58</f>
        <v>145686</v>
      </c>
      <c r="G58" s="98">
        <v>0</v>
      </c>
      <c r="H58" s="98">
        <v>0</v>
      </c>
      <c r="I58" s="98">
        <v>0</v>
      </c>
      <c r="J58" s="98">
        <v>0</v>
      </c>
      <c r="K58" s="98">
        <f t="shared" si="0"/>
        <v>220599</v>
      </c>
      <c r="L58" s="98">
        <f t="shared" si="1"/>
        <v>166423</v>
      </c>
      <c r="M58" s="99">
        <f>L58*100/'CD Ratio_3(i)'!F58</f>
        <v>64.10401596215921</v>
      </c>
      <c r="O58" s="61">
        <v>229688</v>
      </c>
      <c r="P58" s="110">
        <v>171854</v>
      </c>
      <c r="Q58" s="110">
        <f t="shared" si="2"/>
        <v>-9089</v>
      </c>
      <c r="R58" s="110">
        <f t="shared" si="3"/>
        <v>-5431</v>
      </c>
      <c r="T58" s="110">
        <f t="shared" si="4"/>
        <v>-54.31</v>
      </c>
    </row>
    <row r="59" spans="1:23">
      <c r="A59" s="57">
        <v>52</v>
      </c>
      <c r="B59" s="58" t="s">
        <v>52</v>
      </c>
      <c r="C59" s="98">
        <v>187586</v>
      </c>
      <c r="D59" s="98">
        <v>284123</v>
      </c>
      <c r="E59" s="98">
        <f>KCC_17!E59</f>
        <v>187586</v>
      </c>
      <c r="F59" s="98">
        <f>KCC_17!F59</f>
        <v>284123</v>
      </c>
      <c r="G59" s="98">
        <v>0</v>
      </c>
      <c r="H59" s="98">
        <v>0</v>
      </c>
      <c r="I59" s="98">
        <v>19482</v>
      </c>
      <c r="J59" s="98">
        <v>17546</v>
      </c>
      <c r="K59" s="98">
        <f t="shared" si="0"/>
        <v>207068</v>
      </c>
      <c r="L59" s="98">
        <f t="shared" si="1"/>
        <v>301669</v>
      </c>
      <c r="M59" s="99">
        <f>L59*100/'CD Ratio_3(i)'!F59</f>
        <v>67.231452558767316</v>
      </c>
      <c r="O59" s="61">
        <v>208264</v>
      </c>
      <c r="P59" s="110">
        <v>308515</v>
      </c>
      <c r="Q59" s="110">
        <f t="shared" si="2"/>
        <v>-1196</v>
      </c>
      <c r="R59" s="110">
        <f t="shared" si="3"/>
        <v>-6846</v>
      </c>
      <c r="T59" s="110">
        <f t="shared" si="4"/>
        <v>-68.459999999999994</v>
      </c>
    </row>
    <row r="60" spans="1:23" s="111" customFormat="1">
      <c r="A60" s="352"/>
      <c r="B60" s="105" t="s">
        <v>296</v>
      </c>
      <c r="C60" s="105">
        <f>SUM(C57:C59)</f>
        <v>570713</v>
      </c>
      <c r="D60" s="105">
        <f t="shared" ref="D60:J60" si="7">SUM(D57:D59)</f>
        <v>688400.53</v>
      </c>
      <c r="E60" s="105">
        <f t="shared" si="7"/>
        <v>508056</v>
      </c>
      <c r="F60" s="105">
        <f t="shared" si="7"/>
        <v>636888.07999999996</v>
      </c>
      <c r="G60" s="105">
        <f t="shared" si="7"/>
        <v>86</v>
      </c>
      <c r="H60" s="105">
        <f t="shared" si="7"/>
        <v>5155.4799999999996</v>
      </c>
      <c r="I60" s="105">
        <f t="shared" si="7"/>
        <v>19657</v>
      </c>
      <c r="J60" s="105">
        <f t="shared" si="7"/>
        <v>17645.48</v>
      </c>
      <c r="K60" s="105">
        <f t="shared" si="0"/>
        <v>590456</v>
      </c>
      <c r="L60" s="105">
        <f t="shared" si="1"/>
        <v>711201.49</v>
      </c>
      <c r="M60" s="96">
        <f>L60*100/'CD Ratio_3(i)'!F60</f>
        <v>64.163882621300218</v>
      </c>
      <c r="O60" s="111">
        <v>602095</v>
      </c>
      <c r="P60" s="111">
        <v>725436.59</v>
      </c>
      <c r="Q60" s="110">
        <f t="shared" si="2"/>
        <v>-11639</v>
      </c>
      <c r="R60" s="110">
        <f t="shared" si="3"/>
        <v>-14235.099999999977</v>
      </c>
      <c r="T60" s="110">
        <f t="shared" si="4"/>
        <v>-142.35099999999977</v>
      </c>
      <c r="W60" s="108"/>
    </row>
    <row r="61" spans="1:23">
      <c r="A61" s="118">
        <v>53</v>
      </c>
      <c r="B61" s="98" t="s">
        <v>288</v>
      </c>
      <c r="C61" s="98">
        <v>5726891</v>
      </c>
      <c r="D61" s="98">
        <f>3159006.44-5714-6374</f>
        <v>3146918.44</v>
      </c>
      <c r="E61" s="98">
        <f>KCC_17!E61</f>
        <v>5403523</v>
      </c>
      <c r="F61" s="98">
        <v>2712300</v>
      </c>
      <c r="G61" s="98">
        <v>0</v>
      </c>
      <c r="H61" s="98">
        <v>0</v>
      </c>
      <c r="I61" s="98">
        <v>0</v>
      </c>
      <c r="J61" s="98">
        <v>0</v>
      </c>
      <c r="K61" s="98">
        <f t="shared" si="0"/>
        <v>5726891</v>
      </c>
      <c r="L61" s="98">
        <f t="shared" si="1"/>
        <v>3146918.44</v>
      </c>
      <c r="M61" s="99">
        <f>L61*100/'CD Ratio_3(i)'!F61</f>
        <v>99.211659547958902</v>
      </c>
      <c r="O61" s="61">
        <v>5686238</v>
      </c>
      <c r="P61" s="110">
        <v>1696209</v>
      </c>
      <c r="Q61" s="110">
        <f t="shared" si="2"/>
        <v>40653</v>
      </c>
      <c r="R61" s="110">
        <f t="shared" si="3"/>
        <v>1450709.44</v>
      </c>
      <c r="T61" s="110">
        <f t="shared" si="4"/>
        <v>14507.0944</v>
      </c>
    </row>
    <row r="62" spans="1:23">
      <c r="A62" s="118"/>
      <c r="B62" s="105" t="s">
        <v>289</v>
      </c>
      <c r="C62" s="105">
        <f>C61</f>
        <v>5726891</v>
      </c>
      <c r="D62" s="105">
        <f t="shared" ref="D62:J62" si="8">D61</f>
        <v>3146918.44</v>
      </c>
      <c r="E62" s="105">
        <f t="shared" si="8"/>
        <v>5403523</v>
      </c>
      <c r="F62" s="105">
        <f t="shared" si="8"/>
        <v>2712300</v>
      </c>
      <c r="G62" s="105">
        <f t="shared" si="8"/>
        <v>0</v>
      </c>
      <c r="H62" s="105">
        <f t="shared" si="8"/>
        <v>0</v>
      </c>
      <c r="I62" s="105">
        <f t="shared" si="8"/>
        <v>0</v>
      </c>
      <c r="J62" s="105">
        <f t="shared" si="8"/>
        <v>0</v>
      </c>
      <c r="K62" s="105">
        <f t="shared" si="0"/>
        <v>5726891</v>
      </c>
      <c r="L62" s="105">
        <f t="shared" si="1"/>
        <v>3146918.44</v>
      </c>
      <c r="M62" s="96">
        <f>L62*100/'CD Ratio_3(i)'!F62</f>
        <v>99.211659547958902</v>
      </c>
      <c r="O62" s="61">
        <v>5686238</v>
      </c>
      <c r="P62" s="110">
        <v>1696209</v>
      </c>
      <c r="Q62" s="110">
        <f t="shared" si="2"/>
        <v>40653</v>
      </c>
      <c r="R62" s="110">
        <f t="shared" si="3"/>
        <v>1450709.44</v>
      </c>
      <c r="T62" s="110">
        <f t="shared" si="4"/>
        <v>14507.0944</v>
      </c>
    </row>
    <row r="63" spans="1:23" s="107" customFormat="1">
      <c r="A63" s="352"/>
      <c r="B63" s="105" t="s">
        <v>0</v>
      </c>
      <c r="C63" s="105">
        <f>C62+C60+C56+C33</f>
        <v>8867422</v>
      </c>
      <c r="D63" s="105">
        <f t="shared" ref="D63:J63" si="9">D62+D60+D56+D33</f>
        <v>8311708.3699999992</v>
      </c>
      <c r="E63" s="105">
        <f t="shared" si="9"/>
        <v>7826488</v>
      </c>
      <c r="F63" s="105">
        <f t="shared" si="9"/>
        <v>6765964.8099999996</v>
      </c>
      <c r="G63" s="105">
        <f t="shared" si="9"/>
        <v>29078</v>
      </c>
      <c r="H63" s="105">
        <f t="shared" si="9"/>
        <v>267824.69</v>
      </c>
      <c r="I63" s="105">
        <f t="shared" si="9"/>
        <v>243524</v>
      </c>
      <c r="J63" s="105">
        <f t="shared" si="9"/>
        <v>656634.62</v>
      </c>
      <c r="K63" s="105">
        <f t="shared" si="0"/>
        <v>9140024</v>
      </c>
      <c r="L63" s="105">
        <f t="shared" si="1"/>
        <v>9236167.6799999978</v>
      </c>
      <c r="M63" s="96">
        <f>L63*100/'CD Ratio_3(i)'!F63</f>
        <v>38.473832667113754</v>
      </c>
      <c r="O63" s="107">
        <v>8971132</v>
      </c>
      <c r="P63" s="111">
        <v>7594163.5326096993</v>
      </c>
      <c r="Q63" s="110">
        <f t="shared" si="2"/>
        <v>168892</v>
      </c>
      <c r="R63" s="110">
        <f t="shared" si="3"/>
        <v>1642004.1473902985</v>
      </c>
      <c r="T63" s="110">
        <f t="shared" si="4"/>
        <v>16420.041473902984</v>
      </c>
      <c r="W63" s="108"/>
    </row>
    <row r="66" spans="3:23">
      <c r="M66" s="61"/>
    </row>
    <row r="67" spans="3:23" s="107" customFormat="1">
      <c r="C67" s="111"/>
      <c r="D67" s="111"/>
      <c r="E67" s="111"/>
      <c r="F67" s="111"/>
      <c r="G67" s="111"/>
      <c r="H67" s="111"/>
      <c r="I67" s="111"/>
      <c r="J67" s="111"/>
      <c r="K67" s="111"/>
      <c r="L67" s="289"/>
      <c r="M67" s="111"/>
      <c r="P67" s="111"/>
      <c r="Q67" s="111"/>
      <c r="R67" s="111"/>
      <c r="T67" s="111"/>
      <c r="W67" s="289"/>
    </row>
    <row r="69" spans="3:23">
      <c r="M69" s="61"/>
    </row>
    <row r="72" spans="3:23">
      <c r="J72" s="108"/>
    </row>
    <row r="75" spans="3:23">
      <c r="F75" s="108"/>
    </row>
    <row r="76" spans="3:23">
      <c r="F76" s="108"/>
    </row>
  </sheetData>
  <sortState ref="B6:L33">
    <sortCondition ref="B6:B33"/>
  </sortState>
  <mergeCells count="12">
    <mergeCell ref="O4:P4"/>
    <mergeCell ref="Q4:R4"/>
    <mergeCell ref="M3:M5"/>
    <mergeCell ref="A1:L1"/>
    <mergeCell ref="A3:A5"/>
    <mergeCell ref="B3:B5"/>
    <mergeCell ref="C3:L3"/>
    <mergeCell ref="C4:D4"/>
    <mergeCell ref="G4:H4"/>
    <mergeCell ref="I4:J4"/>
    <mergeCell ref="K4:L4"/>
    <mergeCell ref="E4:F4"/>
  </mergeCells>
  <conditionalFormatting sqref="B7">
    <cfRule type="duplicateValues" dxfId="206" priority="21"/>
  </conditionalFormatting>
  <conditionalFormatting sqref="B23">
    <cfRule type="duplicateValues" dxfId="205" priority="22"/>
  </conditionalFormatting>
  <conditionalFormatting sqref="B51">
    <cfRule type="duplicateValues" dxfId="204" priority="24"/>
  </conditionalFormatting>
  <conditionalFormatting sqref="B55">
    <cfRule type="duplicateValues" dxfId="203" priority="25"/>
  </conditionalFormatting>
  <conditionalFormatting sqref="B57">
    <cfRule type="duplicateValues" dxfId="202" priority="26"/>
  </conditionalFormatting>
  <conditionalFormatting sqref="B33 B27:B30">
    <cfRule type="duplicateValues" dxfId="201" priority="115"/>
  </conditionalFormatting>
  <conditionalFormatting sqref="M3:M5">
    <cfRule type="cellIs" dxfId="200" priority="8" operator="lessThan">
      <formula>18</formula>
    </cfRule>
    <cfRule type="cellIs" dxfId="199" priority="9" operator="lessThan">
      <formula>18</formula>
    </cfRule>
    <cfRule type="cellIs" dxfId="198" priority="10" operator="lessThan">
      <formula>40</formula>
    </cfRule>
    <cfRule type="cellIs" dxfId="197" priority="11" stopIfTrue="1" operator="lessThan">
      <formula>18</formula>
    </cfRule>
  </conditionalFormatting>
  <conditionalFormatting sqref="M1:M66 M68:M1048576">
    <cfRule type="cellIs" dxfId="196" priority="3" operator="lessThan">
      <formula>18</formula>
    </cfRule>
    <cfRule type="cellIs" dxfId="195" priority="4" operator="greaterThan">
      <formula>100</formula>
    </cfRule>
    <cfRule type="cellIs" dxfId="194" priority="5" operator="greaterThan">
      <formula>100</formula>
    </cfRule>
    <cfRule type="cellIs" dxfId="193" priority="7" operator="lessThan">
      <formula>18</formula>
    </cfRule>
  </conditionalFormatting>
  <conditionalFormatting sqref="R1:R1048576">
    <cfRule type="cellIs" dxfId="192" priority="2" operator="lessThan">
      <formula>0</formula>
    </cfRule>
  </conditionalFormatting>
  <conditionalFormatting sqref="W1:W1048576">
    <cfRule type="cellIs" dxfId="191" priority="1" operator="greaterThan">
      <formula>100</formula>
    </cfRule>
  </conditionalFormatting>
  <pageMargins left="0.45" right="0.45" top="0.5" bottom="0.5" header="0.3" footer="0.3"/>
  <pageSetup paperSize="9" scale="68" orientation="portrait" r:id="rId1"/>
  <headerFooter>
    <oddFooter xml:space="preserve">&amp;CData Table, State Level Banker's Committee, M.P.    Page No.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86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4.42578125" defaultRowHeight="13.5"/>
  <cols>
    <col min="1" max="1" width="4.42578125" style="61"/>
    <col min="2" max="2" width="22.140625" style="61" customWidth="1"/>
    <col min="3" max="3" width="10" style="110" customWidth="1"/>
    <col min="4" max="4" width="10.85546875" style="110" bestFit="1" customWidth="1"/>
    <col min="5" max="5" width="8.42578125" style="110" customWidth="1"/>
    <col min="6" max="6" width="11.28515625" style="110" bestFit="1" customWidth="1"/>
    <col min="7" max="7" width="7.7109375" style="110" bestFit="1" customWidth="1"/>
    <col min="8" max="8" width="10.5703125" style="110" bestFit="1" customWidth="1"/>
    <col min="9" max="9" width="7.5703125" style="110" customWidth="1"/>
    <col min="10" max="10" width="8.42578125" style="110" bestFit="1" customWidth="1"/>
    <col min="11" max="12" width="9.85546875" style="110" bestFit="1" customWidth="1"/>
    <col min="13" max="13" width="10.5703125" style="110" bestFit="1" customWidth="1"/>
    <col min="14" max="14" width="11.85546875" style="110" bestFit="1" customWidth="1"/>
    <col min="15" max="15" width="4.42578125" style="61"/>
    <col min="16" max="16" width="12" style="108" hidden="1" customWidth="1"/>
    <col min="17" max="17" width="7" style="61" hidden="1" customWidth="1"/>
    <col min="18" max="18" width="11" style="110" hidden="1" customWidth="1"/>
    <col min="19" max="19" width="0" style="61" hidden="1" customWidth="1"/>
    <col min="20" max="20" width="8" style="61" hidden="1" customWidth="1"/>
    <col min="21" max="16384" width="4.42578125" style="61"/>
  </cols>
  <sheetData>
    <row r="1" spans="1:20" ht="18.75">
      <c r="A1" s="593" t="s">
        <v>753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</row>
    <row r="2" spans="1:20">
      <c r="B2" s="107" t="s">
        <v>134</v>
      </c>
      <c r="I2" s="110" t="s">
        <v>143</v>
      </c>
      <c r="L2" s="110" t="s">
        <v>133</v>
      </c>
    </row>
    <row r="3" spans="1:20" ht="13.5" customHeight="1">
      <c r="A3" s="594" t="s">
        <v>120</v>
      </c>
      <c r="B3" s="594" t="s">
        <v>100</v>
      </c>
      <c r="C3" s="596" t="s">
        <v>751</v>
      </c>
      <c r="D3" s="597"/>
      <c r="E3" s="597"/>
      <c r="F3" s="597"/>
      <c r="G3" s="597"/>
      <c r="H3" s="597"/>
      <c r="I3" s="597"/>
      <c r="J3" s="597"/>
      <c r="K3" s="597"/>
      <c r="L3" s="597"/>
      <c r="M3" s="597"/>
      <c r="N3" s="598"/>
    </row>
    <row r="4" spans="1:20" ht="15" customHeight="1">
      <c r="A4" s="594"/>
      <c r="B4" s="594"/>
      <c r="C4" s="596" t="s">
        <v>127</v>
      </c>
      <c r="D4" s="598"/>
      <c r="E4" s="596" t="s">
        <v>128</v>
      </c>
      <c r="F4" s="598"/>
      <c r="G4" s="596" t="s">
        <v>129</v>
      </c>
      <c r="H4" s="598"/>
      <c r="I4" s="596" t="s">
        <v>130</v>
      </c>
      <c r="J4" s="598"/>
      <c r="K4" s="596" t="s">
        <v>132</v>
      </c>
      <c r="L4" s="598"/>
      <c r="M4" s="596" t="s">
        <v>1</v>
      </c>
      <c r="N4" s="598"/>
      <c r="R4" s="291">
        <v>42629</v>
      </c>
    </row>
    <row r="5" spans="1:20">
      <c r="A5" s="594"/>
      <c r="B5" s="594"/>
      <c r="C5" s="217" t="s">
        <v>263</v>
      </c>
      <c r="D5" s="217" t="s">
        <v>262</v>
      </c>
      <c r="E5" s="217" t="s">
        <v>263</v>
      </c>
      <c r="F5" s="217" t="s">
        <v>262</v>
      </c>
      <c r="G5" s="217" t="s">
        <v>263</v>
      </c>
      <c r="H5" s="217" t="s">
        <v>262</v>
      </c>
      <c r="I5" s="217" t="s">
        <v>263</v>
      </c>
      <c r="J5" s="217" t="s">
        <v>262</v>
      </c>
      <c r="K5" s="217" t="s">
        <v>263</v>
      </c>
      <c r="L5" s="217" t="s">
        <v>262</v>
      </c>
      <c r="M5" s="217" t="s">
        <v>263</v>
      </c>
      <c r="N5" s="217" t="s">
        <v>262</v>
      </c>
      <c r="T5" s="218" t="s">
        <v>266</v>
      </c>
    </row>
    <row r="6" spans="1:20">
      <c r="A6" s="57">
        <v>1</v>
      </c>
      <c r="B6" s="97" t="s">
        <v>55</v>
      </c>
      <c r="C6" s="98">
        <v>22549</v>
      </c>
      <c r="D6" s="98">
        <v>89723</v>
      </c>
      <c r="E6" s="98">
        <v>4272</v>
      </c>
      <c r="F6" s="98">
        <v>71669</v>
      </c>
      <c r="G6" s="98">
        <v>58</v>
      </c>
      <c r="H6" s="98">
        <v>17070</v>
      </c>
      <c r="I6" s="98">
        <v>246</v>
      </c>
      <c r="J6" s="98">
        <v>403</v>
      </c>
      <c r="K6" s="98">
        <v>0</v>
      </c>
      <c r="L6" s="98">
        <v>0</v>
      </c>
      <c r="M6" s="98">
        <f>C6+E6+G6+I6+K6</f>
        <v>27125</v>
      </c>
      <c r="N6" s="98">
        <f>D6+F6+H6+J6+L6</f>
        <v>178865</v>
      </c>
      <c r="P6" s="108" t="s">
        <v>55</v>
      </c>
      <c r="Q6" s="61">
        <v>29661</v>
      </c>
      <c r="R6" s="110">
        <v>169477</v>
      </c>
      <c r="T6" s="110">
        <f>N6-R6</f>
        <v>9388</v>
      </c>
    </row>
    <row r="7" spans="1:20">
      <c r="A7" s="57">
        <v>2</v>
      </c>
      <c r="B7" s="97" t="s">
        <v>56</v>
      </c>
      <c r="C7" s="98">
        <v>3777</v>
      </c>
      <c r="D7" s="98">
        <v>7205.07</v>
      </c>
      <c r="E7" s="98">
        <v>81</v>
      </c>
      <c r="F7" s="98">
        <v>5743.93</v>
      </c>
      <c r="G7" s="98">
        <v>11</v>
      </c>
      <c r="H7" s="98">
        <v>5954.05</v>
      </c>
      <c r="I7" s="98">
        <v>11</v>
      </c>
      <c r="J7" s="98">
        <v>54.21</v>
      </c>
      <c r="K7" s="98">
        <v>0</v>
      </c>
      <c r="L7" s="98">
        <v>0</v>
      </c>
      <c r="M7" s="98">
        <f t="shared" ref="M7:M63" si="0">C7+E7+G7+I7+K7</f>
        <v>3880</v>
      </c>
      <c r="N7" s="98">
        <f t="shared" ref="N7:N63" si="1">D7+F7+H7+J7+L7</f>
        <v>18957.259999999998</v>
      </c>
      <c r="P7" s="108" t="s">
        <v>56</v>
      </c>
      <c r="Q7" s="61">
        <v>3945</v>
      </c>
      <c r="R7" s="110">
        <v>12554.96</v>
      </c>
      <c r="T7" s="110">
        <f t="shared" ref="T7:T63" si="2">N7-R7</f>
        <v>6402.2999999999993</v>
      </c>
    </row>
    <row r="8" spans="1:20">
      <c r="A8" s="57">
        <v>3</v>
      </c>
      <c r="B8" s="97" t="s">
        <v>57</v>
      </c>
      <c r="C8" s="98">
        <v>18106</v>
      </c>
      <c r="D8" s="98">
        <v>130112</v>
      </c>
      <c r="E8" s="98">
        <v>3606</v>
      </c>
      <c r="F8" s="98">
        <v>128530.2</v>
      </c>
      <c r="G8" s="98">
        <v>187</v>
      </c>
      <c r="H8" s="98">
        <v>38520</v>
      </c>
      <c r="I8" s="98">
        <v>265</v>
      </c>
      <c r="J8" s="98">
        <v>3659.13</v>
      </c>
      <c r="K8" s="98">
        <v>21</v>
      </c>
      <c r="L8" s="98">
        <v>225</v>
      </c>
      <c r="M8" s="98">
        <f t="shared" si="0"/>
        <v>22185</v>
      </c>
      <c r="N8" s="98">
        <f t="shared" si="1"/>
        <v>301046.33</v>
      </c>
      <c r="P8" s="108" t="s">
        <v>57</v>
      </c>
      <c r="Q8" s="61">
        <v>21903</v>
      </c>
      <c r="R8" s="110">
        <v>272591</v>
      </c>
      <c r="T8" s="110">
        <f t="shared" si="2"/>
        <v>28455.330000000016</v>
      </c>
    </row>
    <row r="9" spans="1:20">
      <c r="A9" s="57">
        <v>4</v>
      </c>
      <c r="B9" s="97" t="s">
        <v>58</v>
      </c>
      <c r="C9" s="98">
        <v>71763</v>
      </c>
      <c r="D9" s="98">
        <v>151653</v>
      </c>
      <c r="E9" s="98">
        <v>4505</v>
      </c>
      <c r="F9" s="98">
        <v>113089</v>
      </c>
      <c r="G9" s="98">
        <v>184</v>
      </c>
      <c r="H9" s="98">
        <v>21908</v>
      </c>
      <c r="I9" s="98">
        <v>10</v>
      </c>
      <c r="J9" s="98">
        <v>34</v>
      </c>
      <c r="K9" s="98">
        <v>271</v>
      </c>
      <c r="L9" s="98">
        <v>84</v>
      </c>
      <c r="M9" s="98">
        <f t="shared" si="0"/>
        <v>76733</v>
      </c>
      <c r="N9" s="98">
        <f t="shared" si="1"/>
        <v>286768</v>
      </c>
      <c r="P9" s="108" t="s">
        <v>58</v>
      </c>
      <c r="Q9" s="61">
        <v>69346</v>
      </c>
      <c r="R9" s="110">
        <v>291187</v>
      </c>
      <c r="T9" s="110">
        <f t="shared" si="2"/>
        <v>-4419</v>
      </c>
    </row>
    <row r="10" spans="1:20">
      <c r="A10" s="57">
        <v>5</v>
      </c>
      <c r="B10" s="97" t="s">
        <v>59</v>
      </c>
      <c r="C10" s="98">
        <v>12213</v>
      </c>
      <c r="D10" s="98">
        <v>53844.32</v>
      </c>
      <c r="E10" s="98">
        <v>1137</v>
      </c>
      <c r="F10" s="98">
        <v>33143.22</v>
      </c>
      <c r="G10" s="98">
        <v>13</v>
      </c>
      <c r="H10" s="98">
        <v>2178.91</v>
      </c>
      <c r="I10" s="98">
        <v>2</v>
      </c>
      <c r="J10" s="98">
        <v>11.47</v>
      </c>
      <c r="K10" s="98">
        <v>1088</v>
      </c>
      <c r="L10" s="98">
        <v>3081.87</v>
      </c>
      <c r="M10" s="98">
        <f t="shared" si="0"/>
        <v>14453</v>
      </c>
      <c r="N10" s="98">
        <f t="shared" si="1"/>
        <v>92259.790000000008</v>
      </c>
      <c r="P10" s="108" t="s">
        <v>59</v>
      </c>
      <c r="Q10" s="61">
        <v>19475</v>
      </c>
      <c r="R10" s="110">
        <v>94576</v>
      </c>
      <c r="T10" s="110">
        <f t="shared" si="2"/>
        <v>-2316.2099999999919</v>
      </c>
    </row>
    <row r="11" spans="1:20">
      <c r="A11" s="57">
        <v>6</v>
      </c>
      <c r="B11" s="100" t="s">
        <v>241</v>
      </c>
      <c r="C11" s="98">
        <v>125</v>
      </c>
      <c r="D11" s="98">
        <v>169.91</v>
      </c>
      <c r="E11" s="98">
        <v>6</v>
      </c>
      <c r="F11" s="98">
        <v>68.23</v>
      </c>
      <c r="G11" s="98">
        <v>0</v>
      </c>
      <c r="H11" s="98">
        <v>0</v>
      </c>
      <c r="I11" s="98">
        <v>0</v>
      </c>
      <c r="J11" s="98">
        <v>0</v>
      </c>
      <c r="K11" s="98">
        <v>2</v>
      </c>
      <c r="L11" s="98">
        <v>4.78</v>
      </c>
      <c r="M11" s="98">
        <f t="shared" si="0"/>
        <v>133</v>
      </c>
      <c r="N11" s="98">
        <f t="shared" si="1"/>
        <v>242.92</v>
      </c>
      <c r="P11" s="108" t="s">
        <v>241</v>
      </c>
      <c r="Q11" s="61">
        <v>339</v>
      </c>
      <c r="R11" s="110">
        <v>242.92</v>
      </c>
      <c r="T11" s="110">
        <f t="shared" si="2"/>
        <v>0</v>
      </c>
    </row>
    <row r="12" spans="1:20">
      <c r="A12" s="57">
        <v>7</v>
      </c>
      <c r="B12" s="97" t="s">
        <v>60</v>
      </c>
      <c r="C12" s="98">
        <v>19169</v>
      </c>
      <c r="D12" s="98">
        <v>52610.33</v>
      </c>
      <c r="E12" s="98">
        <v>1630</v>
      </c>
      <c r="F12" s="98">
        <v>45778.77</v>
      </c>
      <c r="G12" s="98">
        <v>66</v>
      </c>
      <c r="H12" s="98">
        <v>8285.9699999999993</v>
      </c>
      <c r="I12" s="98">
        <v>0</v>
      </c>
      <c r="J12" s="98">
        <v>0</v>
      </c>
      <c r="K12" s="98">
        <v>1205</v>
      </c>
      <c r="L12" s="98">
        <v>3434.3</v>
      </c>
      <c r="M12" s="98">
        <f t="shared" si="0"/>
        <v>22070</v>
      </c>
      <c r="N12" s="98">
        <f t="shared" si="1"/>
        <v>110109.37000000001</v>
      </c>
      <c r="P12" s="108" t="s">
        <v>60</v>
      </c>
      <c r="Q12" s="61">
        <v>16530</v>
      </c>
      <c r="R12" s="110">
        <v>154433</v>
      </c>
      <c r="T12" s="110">
        <f t="shared" si="2"/>
        <v>-44323.62999999999</v>
      </c>
    </row>
    <row r="13" spans="1:20">
      <c r="A13" s="57">
        <v>8</v>
      </c>
      <c r="B13" s="97" t="s">
        <v>61</v>
      </c>
      <c r="C13" s="98">
        <v>73779</v>
      </c>
      <c r="D13" s="98">
        <v>114309</v>
      </c>
      <c r="E13" s="98">
        <v>10199</v>
      </c>
      <c r="F13" s="98">
        <v>142807</v>
      </c>
      <c r="G13" s="98">
        <v>130</v>
      </c>
      <c r="H13" s="98">
        <v>15050</v>
      </c>
      <c r="I13" s="98">
        <v>642</v>
      </c>
      <c r="J13" s="98">
        <v>2586</v>
      </c>
      <c r="K13" s="98">
        <v>23</v>
      </c>
      <c r="L13" s="98">
        <v>3251</v>
      </c>
      <c r="M13" s="98">
        <f t="shared" si="0"/>
        <v>84773</v>
      </c>
      <c r="N13" s="98">
        <f t="shared" si="1"/>
        <v>278003</v>
      </c>
      <c r="P13" s="108" t="s">
        <v>61</v>
      </c>
      <c r="Q13" s="61">
        <v>24063</v>
      </c>
      <c r="R13" s="110">
        <v>259399</v>
      </c>
      <c r="T13" s="110">
        <f t="shared" si="2"/>
        <v>18604</v>
      </c>
    </row>
    <row r="14" spans="1:20">
      <c r="A14" s="57">
        <v>9</v>
      </c>
      <c r="B14" s="97" t="s">
        <v>48</v>
      </c>
      <c r="C14" s="98">
        <v>6186</v>
      </c>
      <c r="D14" s="98">
        <v>19781</v>
      </c>
      <c r="E14" s="98">
        <v>1034</v>
      </c>
      <c r="F14" s="98">
        <v>25142</v>
      </c>
      <c r="G14" s="98">
        <v>12</v>
      </c>
      <c r="H14" s="98">
        <v>2660</v>
      </c>
      <c r="I14" s="98">
        <v>231</v>
      </c>
      <c r="J14" s="98">
        <v>1374</v>
      </c>
      <c r="K14" s="98">
        <v>0</v>
      </c>
      <c r="L14" s="98">
        <v>0</v>
      </c>
      <c r="M14" s="98">
        <f t="shared" si="0"/>
        <v>7463</v>
      </c>
      <c r="N14" s="98">
        <f t="shared" si="1"/>
        <v>48957</v>
      </c>
      <c r="P14" s="108" t="s">
        <v>48</v>
      </c>
      <c r="Q14" s="61">
        <v>7607</v>
      </c>
      <c r="R14" s="110">
        <v>47438</v>
      </c>
      <c r="T14" s="110">
        <f t="shared" si="2"/>
        <v>1519</v>
      </c>
    </row>
    <row r="15" spans="1:20">
      <c r="A15" s="57">
        <v>10</v>
      </c>
      <c r="B15" s="97" t="s">
        <v>49</v>
      </c>
      <c r="C15" s="98">
        <v>9010</v>
      </c>
      <c r="D15" s="98">
        <v>24089</v>
      </c>
      <c r="E15" s="98">
        <v>267</v>
      </c>
      <c r="F15" s="98">
        <v>6829</v>
      </c>
      <c r="G15" s="98">
        <v>7</v>
      </c>
      <c r="H15" s="98">
        <v>1806</v>
      </c>
      <c r="I15" s="98">
        <v>59</v>
      </c>
      <c r="J15" s="98">
        <v>47</v>
      </c>
      <c r="K15" s="98">
        <v>0</v>
      </c>
      <c r="L15" s="98">
        <v>0</v>
      </c>
      <c r="M15" s="98">
        <f t="shared" si="0"/>
        <v>9343</v>
      </c>
      <c r="N15" s="98">
        <f t="shared" si="1"/>
        <v>32771</v>
      </c>
      <c r="P15" s="108" t="s">
        <v>49</v>
      </c>
      <c r="Q15" s="61">
        <v>9736</v>
      </c>
      <c r="R15" s="110">
        <v>32169</v>
      </c>
      <c r="T15" s="110">
        <f t="shared" si="2"/>
        <v>602</v>
      </c>
    </row>
    <row r="16" spans="1:20">
      <c r="A16" s="57">
        <v>11</v>
      </c>
      <c r="B16" s="97" t="s">
        <v>81</v>
      </c>
      <c r="C16" s="98">
        <v>23572</v>
      </c>
      <c r="D16" s="98">
        <v>64993</v>
      </c>
      <c r="E16" s="98">
        <v>600</v>
      </c>
      <c r="F16" s="98">
        <v>27936</v>
      </c>
      <c r="G16" s="98">
        <v>41</v>
      </c>
      <c r="H16" s="98">
        <v>8985</v>
      </c>
      <c r="I16" s="98">
        <v>0</v>
      </c>
      <c r="J16" s="98">
        <v>0</v>
      </c>
      <c r="K16" s="98">
        <v>0</v>
      </c>
      <c r="L16" s="98">
        <v>0</v>
      </c>
      <c r="M16" s="98">
        <f t="shared" si="0"/>
        <v>24213</v>
      </c>
      <c r="N16" s="98">
        <f t="shared" si="1"/>
        <v>101914</v>
      </c>
      <c r="P16" s="108" t="s">
        <v>242</v>
      </c>
      <c r="Q16" s="61">
        <v>23460</v>
      </c>
      <c r="R16" s="110">
        <v>82072</v>
      </c>
      <c r="T16" s="110">
        <f t="shared" si="2"/>
        <v>19842</v>
      </c>
    </row>
    <row r="17" spans="1:20">
      <c r="A17" s="57">
        <v>12</v>
      </c>
      <c r="B17" s="97" t="s">
        <v>62</v>
      </c>
      <c r="C17" s="98">
        <v>1943</v>
      </c>
      <c r="D17" s="98">
        <v>4972</v>
      </c>
      <c r="E17" s="98">
        <v>142</v>
      </c>
      <c r="F17" s="98">
        <v>1087</v>
      </c>
      <c r="G17" s="98">
        <v>15</v>
      </c>
      <c r="H17" s="98">
        <v>157</v>
      </c>
      <c r="I17" s="98">
        <v>92</v>
      </c>
      <c r="J17" s="98">
        <v>394</v>
      </c>
      <c r="K17" s="98">
        <v>2122</v>
      </c>
      <c r="L17" s="98">
        <v>6724</v>
      </c>
      <c r="M17" s="98">
        <f t="shared" si="0"/>
        <v>4314</v>
      </c>
      <c r="N17" s="98">
        <f t="shared" si="1"/>
        <v>13334</v>
      </c>
      <c r="P17" s="108" t="s">
        <v>62</v>
      </c>
      <c r="Q17" s="61">
        <v>2070</v>
      </c>
      <c r="R17" s="110">
        <v>12295</v>
      </c>
      <c r="T17" s="110">
        <f t="shared" si="2"/>
        <v>1039</v>
      </c>
    </row>
    <row r="18" spans="1:20">
      <c r="A18" s="57">
        <v>13</v>
      </c>
      <c r="B18" s="97" t="s">
        <v>63</v>
      </c>
      <c r="C18" s="98">
        <v>3970</v>
      </c>
      <c r="D18" s="98">
        <v>14062</v>
      </c>
      <c r="E18" s="98">
        <v>306</v>
      </c>
      <c r="F18" s="98">
        <v>20023</v>
      </c>
      <c r="G18" s="98">
        <v>28</v>
      </c>
      <c r="H18" s="98">
        <v>4464</v>
      </c>
      <c r="I18" s="98">
        <v>118</v>
      </c>
      <c r="J18" s="98">
        <v>751</v>
      </c>
      <c r="K18" s="98">
        <v>19</v>
      </c>
      <c r="L18" s="98">
        <v>12</v>
      </c>
      <c r="M18" s="98">
        <f t="shared" si="0"/>
        <v>4441</v>
      </c>
      <c r="N18" s="98">
        <f t="shared" si="1"/>
        <v>39312</v>
      </c>
      <c r="P18" s="108" t="s">
        <v>63</v>
      </c>
      <c r="Q18" s="61">
        <v>1646</v>
      </c>
      <c r="R18" s="110">
        <v>48026</v>
      </c>
      <c r="T18" s="110">
        <f t="shared" si="2"/>
        <v>-8714</v>
      </c>
    </row>
    <row r="19" spans="1:20">
      <c r="A19" s="57">
        <v>14</v>
      </c>
      <c r="B19" s="101" t="s">
        <v>206</v>
      </c>
      <c r="C19" s="98">
        <v>8094</v>
      </c>
      <c r="D19" s="98">
        <v>27813.3</v>
      </c>
      <c r="E19" s="98">
        <v>1002</v>
      </c>
      <c r="F19" s="98">
        <v>19337.36</v>
      </c>
      <c r="G19" s="98">
        <v>42</v>
      </c>
      <c r="H19" s="98">
        <v>3420.04</v>
      </c>
      <c r="I19" s="98">
        <v>0</v>
      </c>
      <c r="J19" s="98">
        <v>0</v>
      </c>
      <c r="K19" s="98">
        <v>80</v>
      </c>
      <c r="L19" s="98">
        <v>41.82</v>
      </c>
      <c r="M19" s="98">
        <f t="shared" si="0"/>
        <v>9218</v>
      </c>
      <c r="N19" s="98">
        <f t="shared" si="1"/>
        <v>50612.520000000004</v>
      </c>
      <c r="P19" s="108" t="s">
        <v>264</v>
      </c>
      <c r="Q19" s="61">
        <v>8638</v>
      </c>
      <c r="R19" s="110">
        <v>41912.479999999996</v>
      </c>
      <c r="T19" s="110">
        <f t="shared" si="2"/>
        <v>8700.0400000000081</v>
      </c>
    </row>
    <row r="20" spans="1:20">
      <c r="A20" s="57">
        <v>15</v>
      </c>
      <c r="B20" s="97" t="s">
        <v>207</v>
      </c>
      <c r="C20" s="98">
        <v>6133</v>
      </c>
      <c r="D20" s="98">
        <v>12130.41</v>
      </c>
      <c r="E20" s="98">
        <v>304</v>
      </c>
      <c r="F20" s="98">
        <v>19372.439999999999</v>
      </c>
      <c r="G20" s="98">
        <v>10</v>
      </c>
      <c r="H20" s="98">
        <v>4426.17</v>
      </c>
      <c r="I20" s="98">
        <v>16</v>
      </c>
      <c r="J20" s="98">
        <v>31</v>
      </c>
      <c r="K20" s="98">
        <v>0</v>
      </c>
      <c r="L20" s="98">
        <v>0</v>
      </c>
      <c r="M20" s="98">
        <f t="shared" si="0"/>
        <v>6463</v>
      </c>
      <c r="N20" s="98">
        <f t="shared" si="1"/>
        <v>35960.019999999997</v>
      </c>
      <c r="P20" s="108" t="s">
        <v>243</v>
      </c>
      <c r="Q20" s="61">
        <v>5944</v>
      </c>
      <c r="R20" s="110">
        <v>33951</v>
      </c>
      <c r="T20" s="110">
        <f t="shared" si="2"/>
        <v>2009.0199999999968</v>
      </c>
    </row>
    <row r="21" spans="1:20">
      <c r="A21" s="57">
        <v>16</v>
      </c>
      <c r="B21" s="97" t="s">
        <v>64</v>
      </c>
      <c r="C21" s="98">
        <v>35640</v>
      </c>
      <c r="D21" s="98">
        <v>129423</v>
      </c>
      <c r="E21" s="98">
        <v>2899</v>
      </c>
      <c r="F21" s="98">
        <v>155296</v>
      </c>
      <c r="G21" s="98">
        <v>144</v>
      </c>
      <c r="H21" s="98">
        <v>30719</v>
      </c>
      <c r="I21" s="98">
        <v>34</v>
      </c>
      <c r="J21" s="98">
        <v>39</v>
      </c>
      <c r="K21" s="98">
        <v>0</v>
      </c>
      <c r="L21" s="98">
        <v>0</v>
      </c>
      <c r="M21" s="98">
        <f t="shared" si="0"/>
        <v>38717</v>
      </c>
      <c r="N21" s="98">
        <f t="shared" si="1"/>
        <v>315477</v>
      </c>
      <c r="P21" s="108" t="s">
        <v>64</v>
      </c>
      <c r="Q21" s="61">
        <v>31889</v>
      </c>
      <c r="R21" s="110">
        <v>306398</v>
      </c>
      <c r="T21" s="110">
        <f t="shared" si="2"/>
        <v>9079</v>
      </c>
    </row>
    <row r="22" spans="1:20">
      <c r="A22" s="57">
        <v>17</v>
      </c>
      <c r="B22" s="102" t="s">
        <v>69</v>
      </c>
      <c r="C22" s="98">
        <v>445</v>
      </c>
      <c r="D22" s="98">
        <v>3245.06</v>
      </c>
      <c r="E22" s="98">
        <v>36</v>
      </c>
      <c r="F22" s="98">
        <v>910.38</v>
      </c>
      <c r="G22" s="98">
        <v>1</v>
      </c>
      <c r="H22" s="98">
        <v>423.94</v>
      </c>
      <c r="I22" s="98">
        <v>0</v>
      </c>
      <c r="J22" s="98">
        <v>0</v>
      </c>
      <c r="K22" s="98">
        <v>0</v>
      </c>
      <c r="L22" s="98">
        <v>0</v>
      </c>
      <c r="M22" s="98">
        <f t="shared" si="0"/>
        <v>482</v>
      </c>
      <c r="N22" s="98">
        <f t="shared" si="1"/>
        <v>4579.3799999999992</v>
      </c>
      <c r="P22" s="108" t="s">
        <v>244</v>
      </c>
      <c r="Q22" s="61">
        <v>90</v>
      </c>
      <c r="R22" s="110">
        <v>6994.7</v>
      </c>
      <c r="T22" s="110">
        <f t="shared" si="2"/>
        <v>-2415.3200000000006</v>
      </c>
    </row>
    <row r="23" spans="1:20">
      <c r="A23" s="57">
        <v>18</v>
      </c>
      <c r="B23" s="97" t="s">
        <v>208</v>
      </c>
      <c r="C23" s="98">
        <v>292</v>
      </c>
      <c r="D23" s="98">
        <v>4093.11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v>0</v>
      </c>
      <c r="K23" s="98">
        <v>116</v>
      </c>
      <c r="L23" s="98">
        <v>11716.69</v>
      </c>
      <c r="M23" s="98">
        <f t="shared" si="0"/>
        <v>408</v>
      </c>
      <c r="N23" s="98">
        <f t="shared" si="1"/>
        <v>15809.800000000001</v>
      </c>
      <c r="P23" s="108" t="s">
        <v>245</v>
      </c>
      <c r="Q23" s="61">
        <v>78</v>
      </c>
      <c r="R23" s="110">
        <v>987.92000000000007</v>
      </c>
      <c r="T23" s="110">
        <f t="shared" si="2"/>
        <v>14821.880000000001</v>
      </c>
    </row>
    <row r="24" spans="1:20">
      <c r="A24" s="57">
        <v>19</v>
      </c>
      <c r="B24" s="103" t="s">
        <v>209</v>
      </c>
      <c r="C24" s="98">
        <v>898</v>
      </c>
      <c r="D24" s="98">
        <v>7380.9</v>
      </c>
      <c r="E24" s="98">
        <v>103</v>
      </c>
      <c r="F24" s="98">
        <v>2068</v>
      </c>
      <c r="G24" s="98">
        <v>1</v>
      </c>
      <c r="H24" s="98">
        <v>700</v>
      </c>
      <c r="I24" s="98">
        <v>0</v>
      </c>
      <c r="J24" s="98">
        <v>0</v>
      </c>
      <c r="K24" s="98">
        <v>125</v>
      </c>
      <c r="L24" s="98">
        <v>250</v>
      </c>
      <c r="M24" s="98">
        <f t="shared" si="0"/>
        <v>1127</v>
      </c>
      <c r="N24" s="98">
        <f t="shared" si="1"/>
        <v>10398.9</v>
      </c>
      <c r="P24" s="108" t="s">
        <v>246</v>
      </c>
      <c r="Q24" s="61">
        <v>160</v>
      </c>
      <c r="R24" s="110">
        <v>1500</v>
      </c>
      <c r="T24" s="110">
        <f t="shared" si="2"/>
        <v>8898.9</v>
      </c>
    </row>
    <row r="25" spans="1:20">
      <c r="A25" s="57">
        <v>20</v>
      </c>
      <c r="B25" s="97" t="s">
        <v>210</v>
      </c>
      <c r="C25" s="98">
        <v>12</v>
      </c>
      <c r="D25" s="98">
        <v>432</v>
      </c>
      <c r="E25" s="98">
        <v>57</v>
      </c>
      <c r="F25" s="98">
        <v>9658</v>
      </c>
      <c r="G25" s="98">
        <v>308</v>
      </c>
      <c r="H25" s="98">
        <f>16297-4922</f>
        <v>11375</v>
      </c>
      <c r="I25" s="98">
        <v>0</v>
      </c>
      <c r="J25" s="98">
        <v>0</v>
      </c>
      <c r="K25" s="98">
        <v>0</v>
      </c>
      <c r="L25" s="98">
        <v>0</v>
      </c>
      <c r="M25" s="98">
        <f t="shared" si="0"/>
        <v>377</v>
      </c>
      <c r="N25" s="98">
        <f t="shared" si="1"/>
        <v>21465</v>
      </c>
      <c r="P25" s="108" t="s">
        <v>247</v>
      </c>
      <c r="Q25" s="61">
        <v>48</v>
      </c>
      <c r="R25" s="110">
        <v>38547</v>
      </c>
      <c r="T25" s="110">
        <f t="shared" si="2"/>
        <v>-17082</v>
      </c>
    </row>
    <row r="26" spans="1:20">
      <c r="A26" s="57">
        <v>21</v>
      </c>
      <c r="B26" s="97" t="s">
        <v>211</v>
      </c>
      <c r="C26" s="98">
        <v>1572</v>
      </c>
      <c r="D26" s="98">
        <v>6277</v>
      </c>
      <c r="E26" s="98">
        <v>27</v>
      </c>
      <c r="F26" s="98">
        <v>319</v>
      </c>
      <c r="G26" s="98">
        <v>0</v>
      </c>
      <c r="H26" s="98">
        <v>0</v>
      </c>
      <c r="I26" s="98">
        <v>0</v>
      </c>
      <c r="J26" s="98">
        <v>0</v>
      </c>
      <c r="K26" s="98">
        <v>0</v>
      </c>
      <c r="L26" s="98">
        <v>0</v>
      </c>
      <c r="M26" s="98">
        <f t="shared" si="0"/>
        <v>1599</v>
      </c>
      <c r="N26" s="98">
        <f t="shared" si="1"/>
        <v>6596</v>
      </c>
      <c r="P26" s="108" t="s">
        <v>248</v>
      </c>
      <c r="Q26" s="61">
        <v>1513</v>
      </c>
      <c r="R26" s="110">
        <v>0</v>
      </c>
      <c r="T26" s="110">
        <f t="shared" si="2"/>
        <v>6596</v>
      </c>
    </row>
    <row r="27" spans="1:20">
      <c r="A27" s="57">
        <v>22</v>
      </c>
      <c r="B27" s="97" t="s">
        <v>70</v>
      </c>
      <c r="C27" s="98">
        <v>82173</v>
      </c>
      <c r="D27" s="98">
        <v>129374</v>
      </c>
      <c r="E27" s="98">
        <v>9326</v>
      </c>
      <c r="F27" s="98">
        <v>310312</v>
      </c>
      <c r="G27" s="98">
        <v>357</v>
      </c>
      <c r="H27" s="98">
        <v>104424</v>
      </c>
      <c r="I27" s="98">
        <v>801</v>
      </c>
      <c r="J27" s="98">
        <v>3123</v>
      </c>
      <c r="K27" s="98">
        <v>0</v>
      </c>
      <c r="L27" s="98">
        <v>0</v>
      </c>
      <c r="M27" s="98">
        <f t="shared" si="0"/>
        <v>92657</v>
      </c>
      <c r="N27" s="98">
        <f t="shared" si="1"/>
        <v>547233</v>
      </c>
      <c r="P27" s="108" t="s">
        <v>70</v>
      </c>
      <c r="Q27" s="61">
        <v>576325</v>
      </c>
      <c r="R27" s="110">
        <v>494677</v>
      </c>
      <c r="T27" s="110">
        <f t="shared" si="2"/>
        <v>52556</v>
      </c>
    </row>
    <row r="28" spans="1:20">
      <c r="A28" s="57">
        <v>23</v>
      </c>
      <c r="B28" s="97" t="s">
        <v>65</v>
      </c>
      <c r="C28" s="98">
        <v>5391</v>
      </c>
      <c r="D28" s="98">
        <v>12305</v>
      </c>
      <c r="E28" s="98">
        <v>369</v>
      </c>
      <c r="F28" s="98">
        <v>5865</v>
      </c>
      <c r="G28" s="98">
        <v>14</v>
      </c>
      <c r="H28" s="98">
        <v>1092</v>
      </c>
      <c r="I28" s="98">
        <v>4</v>
      </c>
      <c r="J28" s="98">
        <v>40</v>
      </c>
      <c r="K28" s="98">
        <v>8009</v>
      </c>
      <c r="L28" s="98">
        <v>17883</v>
      </c>
      <c r="M28" s="98">
        <f t="shared" si="0"/>
        <v>13787</v>
      </c>
      <c r="N28" s="98">
        <f t="shared" si="1"/>
        <v>37185</v>
      </c>
      <c r="P28" s="108" t="s">
        <v>65</v>
      </c>
      <c r="Q28" s="61">
        <v>12529</v>
      </c>
      <c r="R28" s="110">
        <v>35159</v>
      </c>
      <c r="T28" s="110">
        <f t="shared" si="2"/>
        <v>2026</v>
      </c>
    </row>
    <row r="29" spans="1:20">
      <c r="A29" s="57">
        <v>24</v>
      </c>
      <c r="B29" s="97" t="s">
        <v>212</v>
      </c>
      <c r="C29" s="98">
        <v>3836</v>
      </c>
      <c r="D29" s="98">
        <v>52659</v>
      </c>
      <c r="E29" s="98">
        <v>3024</v>
      </c>
      <c r="F29" s="98">
        <v>63147</v>
      </c>
      <c r="G29" s="98">
        <v>924</v>
      </c>
      <c r="H29" s="98">
        <v>36696</v>
      </c>
      <c r="I29" s="98">
        <v>85</v>
      </c>
      <c r="J29" s="98">
        <v>91</v>
      </c>
      <c r="K29" s="98">
        <v>1995</v>
      </c>
      <c r="L29" s="98">
        <v>8102</v>
      </c>
      <c r="M29" s="98">
        <f t="shared" si="0"/>
        <v>9864</v>
      </c>
      <c r="N29" s="98">
        <f t="shared" si="1"/>
        <v>160695</v>
      </c>
      <c r="P29" s="108" t="s">
        <v>212</v>
      </c>
      <c r="Q29" s="61">
        <v>10637</v>
      </c>
      <c r="R29" s="110">
        <v>187048</v>
      </c>
      <c r="T29" s="110">
        <f t="shared" si="2"/>
        <v>-26353</v>
      </c>
    </row>
    <row r="30" spans="1:20">
      <c r="A30" s="57">
        <v>25</v>
      </c>
      <c r="B30" s="97" t="s">
        <v>66</v>
      </c>
      <c r="C30" s="98">
        <v>37032</v>
      </c>
      <c r="D30" s="98">
        <v>80252</v>
      </c>
      <c r="E30" s="98">
        <v>3472</v>
      </c>
      <c r="F30" s="98">
        <v>80203</v>
      </c>
      <c r="G30" s="98">
        <v>426</v>
      </c>
      <c r="H30" s="98">
        <v>18632</v>
      </c>
      <c r="I30" s="98">
        <v>128</v>
      </c>
      <c r="J30" s="98">
        <v>372</v>
      </c>
      <c r="K30" s="98">
        <v>0</v>
      </c>
      <c r="L30" s="98">
        <v>0</v>
      </c>
      <c r="M30" s="98">
        <f t="shared" si="0"/>
        <v>41058</v>
      </c>
      <c r="N30" s="98">
        <f t="shared" si="1"/>
        <v>179459</v>
      </c>
      <c r="P30" s="108" t="s">
        <v>66</v>
      </c>
      <c r="Q30" s="61">
        <v>44985</v>
      </c>
      <c r="R30" s="110">
        <v>169446.74000000002</v>
      </c>
      <c r="T30" s="110">
        <f t="shared" si="2"/>
        <v>10012.25999999998</v>
      </c>
    </row>
    <row r="31" spans="1:20">
      <c r="A31" s="57">
        <v>26</v>
      </c>
      <c r="B31" s="100" t="s">
        <v>67</v>
      </c>
      <c r="C31" s="98">
        <v>800</v>
      </c>
      <c r="D31" s="98">
        <v>4132</v>
      </c>
      <c r="E31" s="98">
        <v>9</v>
      </c>
      <c r="F31" s="98">
        <v>37</v>
      </c>
      <c r="G31" s="98">
        <v>361</v>
      </c>
      <c r="H31" s="98">
        <v>1936</v>
      </c>
      <c r="I31" s="98">
        <v>2</v>
      </c>
      <c r="J31" s="98">
        <v>15</v>
      </c>
      <c r="K31" s="98">
        <v>0</v>
      </c>
      <c r="L31" s="98">
        <v>0</v>
      </c>
      <c r="M31" s="98">
        <f t="shared" si="0"/>
        <v>1172</v>
      </c>
      <c r="N31" s="98">
        <f t="shared" si="1"/>
        <v>6120</v>
      </c>
      <c r="P31" s="108" t="s">
        <v>67</v>
      </c>
      <c r="Q31" s="61">
        <v>956</v>
      </c>
      <c r="R31" s="110">
        <v>6282.3</v>
      </c>
      <c r="T31" s="110">
        <f t="shared" si="2"/>
        <v>-162.30000000000018</v>
      </c>
    </row>
    <row r="32" spans="1:20">
      <c r="A32" s="57">
        <v>27</v>
      </c>
      <c r="B32" s="97" t="s">
        <v>50</v>
      </c>
      <c r="C32" s="98">
        <v>5829</v>
      </c>
      <c r="D32" s="98">
        <v>19479.669999999998</v>
      </c>
      <c r="E32" s="98">
        <v>362</v>
      </c>
      <c r="F32" s="98">
        <v>9725.4500000000007</v>
      </c>
      <c r="G32" s="98">
        <v>2</v>
      </c>
      <c r="H32" s="98">
        <v>996.17</v>
      </c>
      <c r="I32" s="98">
        <v>0</v>
      </c>
      <c r="J32" s="98">
        <v>0</v>
      </c>
      <c r="K32" s="98">
        <v>2021</v>
      </c>
      <c r="L32" s="98">
        <v>5081.8</v>
      </c>
      <c r="M32" s="98">
        <f t="shared" si="0"/>
        <v>8214</v>
      </c>
      <c r="N32" s="98">
        <f t="shared" si="1"/>
        <v>35283.089999999997</v>
      </c>
      <c r="P32" s="108" t="s">
        <v>50</v>
      </c>
      <c r="Q32" s="61">
        <v>7467</v>
      </c>
      <c r="R32" s="110">
        <v>31490</v>
      </c>
      <c r="T32" s="110">
        <f t="shared" si="2"/>
        <v>3793.0899999999965</v>
      </c>
    </row>
    <row r="33" spans="1:20" s="107" customFormat="1">
      <c r="A33" s="57"/>
      <c r="B33" s="104" t="s">
        <v>286</v>
      </c>
      <c r="C33" s="105">
        <f>SUM(C6:C32)</f>
        <v>454309</v>
      </c>
      <c r="D33" s="105">
        <f t="shared" ref="D33:L33" si="3">SUM(D6:D32)</f>
        <v>1216520.08</v>
      </c>
      <c r="E33" s="105">
        <f t="shared" si="3"/>
        <v>48775</v>
      </c>
      <c r="F33" s="105">
        <f t="shared" si="3"/>
        <v>1298096.9799999997</v>
      </c>
      <c r="G33" s="105">
        <f t="shared" si="3"/>
        <v>3342</v>
      </c>
      <c r="H33" s="105">
        <f t="shared" si="3"/>
        <v>341879.25</v>
      </c>
      <c r="I33" s="105">
        <f t="shared" si="3"/>
        <v>2746</v>
      </c>
      <c r="J33" s="105">
        <f t="shared" si="3"/>
        <v>13024.810000000001</v>
      </c>
      <c r="K33" s="105">
        <f t="shared" si="3"/>
        <v>17097</v>
      </c>
      <c r="L33" s="105">
        <f t="shared" si="3"/>
        <v>59892.26</v>
      </c>
      <c r="M33" s="105">
        <f t="shared" si="0"/>
        <v>526269</v>
      </c>
      <c r="N33" s="105">
        <f t="shared" si="1"/>
        <v>2929413.3799999994</v>
      </c>
      <c r="P33" s="108" t="s">
        <v>249</v>
      </c>
      <c r="Q33" s="107">
        <v>578214</v>
      </c>
      <c r="R33" s="111">
        <v>2830855.0200000005</v>
      </c>
      <c r="T33" s="110">
        <f t="shared" si="2"/>
        <v>98558.359999998938</v>
      </c>
    </row>
    <row r="34" spans="1:20">
      <c r="A34" s="57">
        <v>28</v>
      </c>
      <c r="B34" s="97" t="s">
        <v>47</v>
      </c>
      <c r="C34" s="98">
        <v>3703</v>
      </c>
      <c r="D34" s="98">
        <v>54579</v>
      </c>
      <c r="E34" s="98">
        <v>1285</v>
      </c>
      <c r="F34" s="98">
        <v>80052</v>
      </c>
      <c r="G34" s="98">
        <v>184</v>
      </c>
      <c r="H34" s="98">
        <v>19485</v>
      </c>
      <c r="I34" s="98">
        <v>1</v>
      </c>
      <c r="J34" s="98">
        <v>96</v>
      </c>
      <c r="K34" s="98">
        <v>0</v>
      </c>
      <c r="L34" s="98">
        <v>0</v>
      </c>
      <c r="M34" s="98">
        <f t="shared" si="0"/>
        <v>5173</v>
      </c>
      <c r="N34" s="98">
        <f t="shared" si="1"/>
        <v>154212</v>
      </c>
      <c r="P34" s="108" t="s">
        <v>47</v>
      </c>
      <c r="Q34" s="61">
        <v>3810</v>
      </c>
      <c r="R34" s="110">
        <v>139008.03</v>
      </c>
      <c r="T34" s="110">
        <f t="shared" si="2"/>
        <v>15203.970000000001</v>
      </c>
    </row>
    <row r="35" spans="1:20">
      <c r="A35" s="57">
        <v>29</v>
      </c>
      <c r="B35" s="97" t="s">
        <v>214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135100</v>
      </c>
      <c r="L35" s="98">
        <v>43646.64</v>
      </c>
      <c r="M35" s="98">
        <f t="shared" si="0"/>
        <v>135100</v>
      </c>
      <c r="N35" s="98">
        <f t="shared" si="1"/>
        <v>43646.64</v>
      </c>
      <c r="P35" s="108" t="s">
        <v>214</v>
      </c>
      <c r="Q35" s="61">
        <v>96674</v>
      </c>
      <c r="R35" s="110">
        <v>24958</v>
      </c>
      <c r="T35" s="110">
        <f t="shared" si="2"/>
        <v>18688.64</v>
      </c>
    </row>
    <row r="36" spans="1:20">
      <c r="A36" s="57">
        <v>30</v>
      </c>
      <c r="B36" s="58" t="s">
        <v>215</v>
      </c>
      <c r="C36" s="98">
        <v>0</v>
      </c>
      <c r="D36" s="98">
        <v>95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8">
        <v>0</v>
      </c>
      <c r="K36" s="98">
        <v>0</v>
      </c>
      <c r="L36" s="98">
        <v>0</v>
      </c>
      <c r="M36" s="98">
        <f t="shared" si="0"/>
        <v>0</v>
      </c>
      <c r="N36" s="98">
        <f t="shared" si="1"/>
        <v>95</v>
      </c>
      <c r="R36" s="110">
        <v>0</v>
      </c>
      <c r="T36" s="110">
        <f t="shared" si="2"/>
        <v>95</v>
      </c>
    </row>
    <row r="37" spans="1:20">
      <c r="A37" s="57">
        <v>31</v>
      </c>
      <c r="B37" s="58" t="s">
        <v>78</v>
      </c>
      <c r="C37" s="98">
        <v>0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f t="shared" si="0"/>
        <v>0</v>
      </c>
      <c r="N37" s="98">
        <f t="shared" si="1"/>
        <v>0</v>
      </c>
      <c r="R37" s="110">
        <v>0</v>
      </c>
      <c r="T37" s="110">
        <f t="shared" si="2"/>
        <v>0</v>
      </c>
    </row>
    <row r="38" spans="1:20">
      <c r="A38" s="57">
        <v>32</v>
      </c>
      <c r="B38" s="97" t="s">
        <v>51</v>
      </c>
      <c r="C38" s="98">
        <v>72</v>
      </c>
      <c r="D38" s="98">
        <v>2164.6799999999998</v>
      </c>
      <c r="E38" s="98">
        <v>27</v>
      </c>
      <c r="F38" s="98">
        <v>1956.37</v>
      </c>
      <c r="G38" s="98">
        <v>3</v>
      </c>
      <c r="H38" s="98">
        <v>382.66</v>
      </c>
      <c r="I38" s="98">
        <v>0</v>
      </c>
      <c r="J38" s="98">
        <v>0</v>
      </c>
      <c r="K38" s="98">
        <v>0</v>
      </c>
      <c r="L38" s="98">
        <v>0</v>
      </c>
      <c r="M38" s="98">
        <f t="shared" si="0"/>
        <v>102</v>
      </c>
      <c r="N38" s="98">
        <f t="shared" si="1"/>
        <v>4503.7099999999991</v>
      </c>
      <c r="P38" s="108" t="s">
        <v>51</v>
      </c>
      <c r="Q38" s="61">
        <v>95</v>
      </c>
      <c r="R38" s="110">
        <v>4015.47</v>
      </c>
      <c r="T38" s="110">
        <f t="shared" si="2"/>
        <v>488.23999999999933</v>
      </c>
    </row>
    <row r="39" spans="1:20">
      <c r="A39" s="57">
        <v>33</v>
      </c>
      <c r="B39" s="97" t="s">
        <v>216</v>
      </c>
      <c r="C39" s="98">
        <v>2957</v>
      </c>
      <c r="D39" s="98">
        <v>13005</v>
      </c>
      <c r="E39" s="98">
        <v>312</v>
      </c>
      <c r="F39" s="98">
        <v>4828</v>
      </c>
      <c r="G39" s="98">
        <v>2</v>
      </c>
      <c r="H39" s="98">
        <v>74</v>
      </c>
      <c r="I39" s="98">
        <v>0</v>
      </c>
      <c r="J39" s="98">
        <v>0</v>
      </c>
      <c r="K39" s="98">
        <v>0</v>
      </c>
      <c r="L39" s="98">
        <v>0</v>
      </c>
      <c r="M39" s="98">
        <f t="shared" si="0"/>
        <v>3271</v>
      </c>
      <c r="N39" s="98">
        <f t="shared" si="1"/>
        <v>17907</v>
      </c>
      <c r="P39" s="108" t="s">
        <v>250</v>
      </c>
      <c r="Q39" s="61">
        <v>0</v>
      </c>
      <c r="R39" s="110">
        <v>0</v>
      </c>
      <c r="T39" s="110">
        <f t="shared" si="2"/>
        <v>17907</v>
      </c>
    </row>
    <row r="40" spans="1:20">
      <c r="A40" s="57">
        <v>34</v>
      </c>
      <c r="B40" s="97" t="s">
        <v>217</v>
      </c>
      <c r="C40" s="98">
        <v>0</v>
      </c>
      <c r="D40" s="98">
        <v>0</v>
      </c>
      <c r="E40" s="98">
        <v>0</v>
      </c>
      <c r="F40" s="98">
        <v>0</v>
      </c>
      <c r="G40" s="98">
        <v>0</v>
      </c>
      <c r="H40" s="98">
        <v>0</v>
      </c>
      <c r="I40" s="98">
        <v>0</v>
      </c>
      <c r="J40" s="98">
        <v>0</v>
      </c>
      <c r="K40" s="98">
        <v>0</v>
      </c>
      <c r="L40" s="98">
        <v>0</v>
      </c>
      <c r="M40" s="98">
        <f t="shared" si="0"/>
        <v>0</v>
      </c>
      <c r="N40" s="98">
        <f t="shared" si="1"/>
        <v>0</v>
      </c>
      <c r="P40" s="108" t="s">
        <v>251</v>
      </c>
      <c r="Q40" s="61">
        <v>0</v>
      </c>
      <c r="R40" s="110">
        <v>0</v>
      </c>
      <c r="T40" s="110">
        <f t="shared" si="2"/>
        <v>0</v>
      </c>
    </row>
    <row r="41" spans="1:20">
      <c r="A41" s="57">
        <v>35</v>
      </c>
      <c r="B41" s="97" t="s">
        <v>218</v>
      </c>
      <c r="C41" s="98">
        <v>84</v>
      </c>
      <c r="D41" s="98">
        <v>1729</v>
      </c>
      <c r="E41" s="98">
        <v>23</v>
      </c>
      <c r="F41" s="98">
        <v>518</v>
      </c>
      <c r="G41" s="98">
        <v>6</v>
      </c>
      <c r="H41" s="98">
        <v>890</v>
      </c>
      <c r="I41" s="98">
        <v>0</v>
      </c>
      <c r="J41" s="98">
        <v>0</v>
      </c>
      <c r="K41" s="98">
        <v>0</v>
      </c>
      <c r="L41" s="98">
        <v>0</v>
      </c>
      <c r="M41" s="98">
        <f t="shared" si="0"/>
        <v>113</v>
      </c>
      <c r="N41" s="98">
        <f t="shared" si="1"/>
        <v>3137</v>
      </c>
      <c r="P41" s="108" t="s">
        <v>252</v>
      </c>
      <c r="Q41" s="61">
        <v>91</v>
      </c>
      <c r="R41" s="110">
        <v>4552.34</v>
      </c>
      <c r="T41" s="110">
        <f t="shared" si="2"/>
        <v>-1415.3400000000001</v>
      </c>
    </row>
    <row r="42" spans="1:20">
      <c r="A42" s="57">
        <v>36</v>
      </c>
      <c r="B42" s="97" t="s">
        <v>71</v>
      </c>
      <c r="C42" s="98">
        <v>144700</v>
      </c>
      <c r="D42" s="98">
        <v>156956</v>
      </c>
      <c r="E42" s="98">
        <v>11798</v>
      </c>
      <c r="F42" s="98">
        <v>132762</v>
      </c>
      <c r="G42" s="98">
        <v>1058</v>
      </c>
      <c r="H42" s="98">
        <v>20587</v>
      </c>
      <c r="I42" s="98">
        <v>0</v>
      </c>
      <c r="J42" s="98">
        <v>0</v>
      </c>
      <c r="K42" s="98">
        <v>0</v>
      </c>
      <c r="L42" s="98">
        <v>0</v>
      </c>
      <c r="M42" s="98">
        <f t="shared" si="0"/>
        <v>157556</v>
      </c>
      <c r="N42" s="98">
        <f t="shared" si="1"/>
        <v>310305</v>
      </c>
      <c r="P42" s="108" t="s">
        <v>253</v>
      </c>
      <c r="Q42" s="61">
        <v>141674</v>
      </c>
      <c r="R42" s="110">
        <v>274311</v>
      </c>
      <c r="T42" s="110">
        <f t="shared" si="2"/>
        <v>35994</v>
      </c>
    </row>
    <row r="43" spans="1:20">
      <c r="A43" s="57">
        <v>37</v>
      </c>
      <c r="B43" s="97" t="s">
        <v>72</v>
      </c>
      <c r="C43" s="98">
        <v>8374</v>
      </c>
      <c r="D43" s="98">
        <v>103987</v>
      </c>
      <c r="E43" s="98">
        <v>14153</v>
      </c>
      <c r="F43" s="98">
        <v>123031</v>
      </c>
      <c r="G43" s="98">
        <v>240</v>
      </c>
      <c r="H43" s="98">
        <v>13008</v>
      </c>
      <c r="I43" s="98">
        <v>0</v>
      </c>
      <c r="J43" s="98">
        <v>0</v>
      </c>
      <c r="K43" s="98">
        <v>0</v>
      </c>
      <c r="L43" s="98">
        <v>0</v>
      </c>
      <c r="M43" s="98">
        <f t="shared" si="0"/>
        <v>22767</v>
      </c>
      <c r="N43" s="98">
        <f t="shared" si="1"/>
        <v>240026</v>
      </c>
      <c r="P43" s="108" t="s">
        <v>254</v>
      </c>
      <c r="Q43" s="61">
        <v>17883</v>
      </c>
      <c r="R43" s="110">
        <v>181438.22999999998</v>
      </c>
      <c r="T43" s="110">
        <f t="shared" si="2"/>
        <v>58587.770000000019</v>
      </c>
    </row>
    <row r="44" spans="1:20">
      <c r="A44" s="57">
        <v>38</v>
      </c>
      <c r="B44" s="97" t="s">
        <v>219</v>
      </c>
      <c r="C44" s="98">
        <v>45256</v>
      </c>
      <c r="D44" s="98">
        <v>7970</v>
      </c>
      <c r="E44" s="98">
        <v>280</v>
      </c>
      <c r="F44" s="98">
        <v>157</v>
      </c>
      <c r="G44" s="98">
        <v>13</v>
      </c>
      <c r="H44" s="98">
        <v>7</v>
      </c>
      <c r="I44" s="98">
        <v>184</v>
      </c>
      <c r="J44" s="98">
        <v>107</v>
      </c>
      <c r="K44" s="98">
        <v>0</v>
      </c>
      <c r="L44" s="98">
        <v>0</v>
      </c>
      <c r="M44" s="98">
        <f t="shared" si="0"/>
        <v>45733</v>
      </c>
      <c r="N44" s="98">
        <f t="shared" si="1"/>
        <v>8241</v>
      </c>
      <c r="R44" s="110">
        <v>0</v>
      </c>
      <c r="T44" s="110">
        <f t="shared" si="2"/>
        <v>8241</v>
      </c>
    </row>
    <row r="45" spans="1:20">
      <c r="A45" s="57">
        <v>39</v>
      </c>
      <c r="B45" s="97" t="s">
        <v>220</v>
      </c>
      <c r="C45" s="98">
        <v>25076</v>
      </c>
      <c r="D45" s="98">
        <v>20211.259999999998</v>
      </c>
      <c r="E45" s="98">
        <v>7772</v>
      </c>
      <c r="F45" s="98">
        <v>73612.22</v>
      </c>
      <c r="G45" s="98">
        <v>17</v>
      </c>
      <c r="H45" s="98">
        <v>2765.02</v>
      </c>
      <c r="I45" s="98">
        <v>0</v>
      </c>
      <c r="J45" s="98">
        <v>0</v>
      </c>
      <c r="K45" s="98">
        <v>0</v>
      </c>
      <c r="L45" s="98">
        <v>0</v>
      </c>
      <c r="M45" s="98">
        <f t="shared" si="0"/>
        <v>32865</v>
      </c>
      <c r="N45" s="98">
        <f t="shared" si="1"/>
        <v>96588.5</v>
      </c>
      <c r="P45" s="108" t="s">
        <v>255</v>
      </c>
      <c r="Q45" s="61">
        <v>717</v>
      </c>
      <c r="R45" s="110">
        <v>87644</v>
      </c>
      <c r="T45" s="110">
        <f t="shared" si="2"/>
        <v>8944.5</v>
      </c>
    </row>
    <row r="46" spans="1:20">
      <c r="A46" s="57">
        <v>40</v>
      </c>
      <c r="B46" s="97" t="s">
        <v>221</v>
      </c>
      <c r="C46" s="98">
        <v>125</v>
      </c>
      <c r="D46" s="98">
        <v>545</v>
      </c>
      <c r="E46" s="98">
        <v>123</v>
      </c>
      <c r="F46" s="98">
        <v>295</v>
      </c>
      <c r="G46" s="98">
        <v>0</v>
      </c>
      <c r="H46" s="98">
        <v>0</v>
      </c>
      <c r="I46" s="98">
        <v>0</v>
      </c>
      <c r="J46" s="98">
        <v>0</v>
      </c>
      <c r="K46" s="98">
        <v>0</v>
      </c>
      <c r="L46" s="98">
        <v>0</v>
      </c>
      <c r="M46" s="98">
        <f t="shared" si="0"/>
        <v>248</v>
      </c>
      <c r="N46" s="98">
        <f t="shared" si="1"/>
        <v>840</v>
      </c>
      <c r="P46" s="108" t="s">
        <v>256</v>
      </c>
      <c r="Q46" s="61">
        <v>235</v>
      </c>
      <c r="R46" s="110">
        <v>781</v>
      </c>
      <c r="T46" s="110">
        <f t="shared" si="2"/>
        <v>59</v>
      </c>
    </row>
    <row r="47" spans="1:20">
      <c r="A47" s="57">
        <v>41</v>
      </c>
      <c r="B47" s="97" t="s">
        <v>222</v>
      </c>
      <c r="C47" s="98">
        <v>221</v>
      </c>
      <c r="D47" s="98">
        <v>1249.99</v>
      </c>
      <c r="E47" s="98">
        <v>72</v>
      </c>
      <c r="F47" s="98">
        <v>2098.5</v>
      </c>
      <c r="G47" s="98">
        <v>16</v>
      </c>
      <c r="H47" s="98">
        <v>1877.15</v>
      </c>
      <c r="I47" s="98">
        <v>0</v>
      </c>
      <c r="J47" s="98">
        <v>0</v>
      </c>
      <c r="K47" s="98">
        <v>40</v>
      </c>
      <c r="L47" s="98">
        <v>1679.44</v>
      </c>
      <c r="M47" s="98">
        <f t="shared" si="0"/>
        <v>349</v>
      </c>
      <c r="N47" s="98">
        <f t="shared" si="1"/>
        <v>6905.08</v>
      </c>
      <c r="P47" s="108" t="s">
        <v>257</v>
      </c>
      <c r="Q47" s="61">
        <v>364</v>
      </c>
      <c r="R47" s="110">
        <v>8122.11</v>
      </c>
      <c r="T47" s="110">
        <f t="shared" si="2"/>
        <v>-1217.0299999999997</v>
      </c>
    </row>
    <row r="48" spans="1:20">
      <c r="A48" s="57">
        <v>42</v>
      </c>
      <c r="B48" s="97" t="s">
        <v>223</v>
      </c>
      <c r="C48" s="98">
        <v>1588</v>
      </c>
      <c r="D48" s="98">
        <v>15667</v>
      </c>
      <c r="E48" s="98">
        <v>0</v>
      </c>
      <c r="F48" s="98">
        <v>0</v>
      </c>
      <c r="G48" s="98">
        <v>0</v>
      </c>
      <c r="H48" s="98">
        <v>0</v>
      </c>
      <c r="I48" s="98">
        <v>0</v>
      </c>
      <c r="J48" s="98">
        <v>0</v>
      </c>
      <c r="K48" s="98">
        <v>0</v>
      </c>
      <c r="L48" s="98">
        <v>0</v>
      </c>
      <c r="M48" s="98">
        <f t="shared" si="0"/>
        <v>1588</v>
      </c>
      <c r="N48" s="98">
        <f t="shared" si="1"/>
        <v>15667</v>
      </c>
      <c r="P48" s="108" t="s">
        <v>93</v>
      </c>
      <c r="Q48" s="61">
        <v>12</v>
      </c>
      <c r="R48" s="110">
        <v>0</v>
      </c>
      <c r="T48" s="110">
        <f t="shared" si="2"/>
        <v>15667</v>
      </c>
    </row>
    <row r="49" spans="1:20">
      <c r="A49" s="57">
        <v>43</v>
      </c>
      <c r="B49" s="106" t="s">
        <v>73</v>
      </c>
      <c r="C49" s="98">
        <v>983</v>
      </c>
      <c r="D49" s="98">
        <v>28143</v>
      </c>
      <c r="E49" s="98">
        <v>1947</v>
      </c>
      <c r="F49" s="98">
        <v>44378</v>
      </c>
      <c r="G49" s="98">
        <v>294</v>
      </c>
      <c r="H49" s="98">
        <v>4572</v>
      </c>
      <c r="I49" s="98">
        <v>0</v>
      </c>
      <c r="J49" s="98">
        <v>0</v>
      </c>
      <c r="K49" s="98">
        <v>1</v>
      </c>
      <c r="L49" s="98">
        <v>14</v>
      </c>
      <c r="M49" s="98">
        <f t="shared" si="0"/>
        <v>3225</v>
      </c>
      <c r="N49" s="98">
        <f t="shared" si="1"/>
        <v>77107</v>
      </c>
      <c r="P49" s="108" t="s">
        <v>258</v>
      </c>
      <c r="Q49" s="61">
        <v>2347</v>
      </c>
      <c r="R49" s="110">
        <v>61943</v>
      </c>
      <c r="T49" s="110">
        <f t="shared" si="2"/>
        <v>15164</v>
      </c>
    </row>
    <row r="50" spans="1:20">
      <c r="A50" s="57">
        <v>44</v>
      </c>
      <c r="B50" s="97" t="s">
        <v>224</v>
      </c>
      <c r="C50" s="98">
        <v>2</v>
      </c>
      <c r="D50" s="98">
        <v>284</v>
      </c>
      <c r="E50" s="98">
        <v>0</v>
      </c>
      <c r="F50" s="98">
        <v>0</v>
      </c>
      <c r="G50" s="98">
        <v>0</v>
      </c>
      <c r="H50" s="98">
        <v>0</v>
      </c>
      <c r="I50" s="98">
        <v>0</v>
      </c>
      <c r="J50" s="98">
        <v>0</v>
      </c>
      <c r="K50" s="98">
        <v>0</v>
      </c>
      <c r="L50" s="98">
        <v>0</v>
      </c>
      <c r="M50" s="98">
        <f t="shared" si="0"/>
        <v>2</v>
      </c>
      <c r="N50" s="98">
        <f t="shared" si="1"/>
        <v>284</v>
      </c>
      <c r="P50" s="108" t="s">
        <v>259</v>
      </c>
      <c r="Q50" s="61">
        <v>2</v>
      </c>
      <c r="R50" s="110">
        <v>0</v>
      </c>
      <c r="T50" s="110">
        <f t="shared" si="2"/>
        <v>284</v>
      </c>
    </row>
    <row r="51" spans="1:20">
      <c r="A51" s="57">
        <v>45</v>
      </c>
      <c r="B51" s="97" t="s">
        <v>225</v>
      </c>
      <c r="C51" s="98">
        <v>11753</v>
      </c>
      <c r="D51" s="98">
        <v>10747</v>
      </c>
      <c r="E51" s="98">
        <v>204</v>
      </c>
      <c r="F51" s="98">
        <v>6419</v>
      </c>
      <c r="G51" s="98">
        <v>11</v>
      </c>
      <c r="H51" s="98">
        <v>549</v>
      </c>
      <c r="I51" s="98">
        <v>0</v>
      </c>
      <c r="J51" s="98">
        <v>0</v>
      </c>
      <c r="K51" s="98">
        <v>0</v>
      </c>
      <c r="L51" s="98">
        <v>0</v>
      </c>
      <c r="M51" s="98">
        <f t="shared" si="0"/>
        <v>11968</v>
      </c>
      <c r="N51" s="98">
        <f t="shared" si="1"/>
        <v>17715</v>
      </c>
      <c r="P51" s="108" t="s">
        <v>260</v>
      </c>
      <c r="Q51" s="61">
        <v>6022</v>
      </c>
      <c r="R51" s="110">
        <v>15909</v>
      </c>
      <c r="T51" s="110">
        <f t="shared" si="2"/>
        <v>1806</v>
      </c>
    </row>
    <row r="52" spans="1:20">
      <c r="A52" s="57">
        <v>46</v>
      </c>
      <c r="B52" s="97" t="s">
        <v>226</v>
      </c>
      <c r="C52" s="98">
        <v>15</v>
      </c>
      <c r="D52" s="98">
        <v>205</v>
      </c>
      <c r="E52" s="98">
        <v>65</v>
      </c>
      <c r="F52" s="98">
        <v>2302</v>
      </c>
      <c r="G52" s="98">
        <v>4</v>
      </c>
      <c r="H52" s="98">
        <v>105</v>
      </c>
      <c r="I52" s="98">
        <v>0</v>
      </c>
      <c r="J52" s="98">
        <v>0</v>
      </c>
      <c r="K52" s="98">
        <v>79</v>
      </c>
      <c r="L52" s="98">
        <v>2450</v>
      </c>
      <c r="M52" s="98">
        <f t="shared" si="0"/>
        <v>163</v>
      </c>
      <c r="N52" s="98">
        <f t="shared" si="1"/>
        <v>5062</v>
      </c>
      <c r="P52" s="108" t="s">
        <v>226</v>
      </c>
      <c r="Q52" s="61">
        <v>77</v>
      </c>
      <c r="R52" s="110">
        <v>4666.72</v>
      </c>
      <c r="T52" s="110">
        <f t="shared" si="2"/>
        <v>395.27999999999975</v>
      </c>
    </row>
    <row r="53" spans="1:20">
      <c r="A53" s="57">
        <v>47</v>
      </c>
      <c r="B53" s="97" t="s">
        <v>77</v>
      </c>
      <c r="C53" s="98">
        <v>0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98">
        <v>0</v>
      </c>
      <c r="J53" s="98">
        <v>0</v>
      </c>
      <c r="K53" s="98">
        <v>0</v>
      </c>
      <c r="L53" s="98">
        <v>0</v>
      </c>
      <c r="M53" s="98">
        <f t="shared" si="0"/>
        <v>0</v>
      </c>
      <c r="N53" s="98">
        <f t="shared" si="1"/>
        <v>0</v>
      </c>
      <c r="R53" s="110">
        <v>0</v>
      </c>
      <c r="T53" s="110">
        <f t="shared" si="2"/>
        <v>0</v>
      </c>
    </row>
    <row r="54" spans="1:20">
      <c r="A54" s="57">
        <v>48</v>
      </c>
      <c r="B54" s="97" t="s">
        <v>227</v>
      </c>
      <c r="C54" s="98">
        <v>729</v>
      </c>
      <c r="D54" s="98">
        <v>5257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0</v>
      </c>
      <c r="K54" s="98">
        <v>0</v>
      </c>
      <c r="L54" s="98">
        <v>0</v>
      </c>
      <c r="M54" s="98">
        <f t="shared" si="0"/>
        <v>729</v>
      </c>
      <c r="N54" s="98">
        <f t="shared" si="1"/>
        <v>5257</v>
      </c>
      <c r="R54" s="110">
        <v>0</v>
      </c>
      <c r="T54" s="110">
        <f t="shared" si="2"/>
        <v>5257</v>
      </c>
    </row>
    <row r="55" spans="1:20">
      <c r="A55" s="57">
        <v>49</v>
      </c>
      <c r="B55" s="97" t="s">
        <v>76</v>
      </c>
      <c r="C55" s="232">
        <v>7203</v>
      </c>
      <c r="D55" s="232">
        <v>27107.63</v>
      </c>
      <c r="E55" s="233">
        <v>661</v>
      </c>
      <c r="F55" s="232">
        <v>13327.01</v>
      </c>
      <c r="G55" s="233">
        <v>23</v>
      </c>
      <c r="H55" s="232">
        <v>3679.34</v>
      </c>
      <c r="I55" s="233">
        <v>0</v>
      </c>
      <c r="J55" s="232">
        <v>0</v>
      </c>
      <c r="K55" s="233">
        <v>0</v>
      </c>
      <c r="L55" s="234">
        <v>0</v>
      </c>
      <c r="M55" s="98">
        <f t="shared" si="0"/>
        <v>7887</v>
      </c>
      <c r="N55" s="98">
        <f t="shared" si="1"/>
        <v>44113.979999999996</v>
      </c>
      <c r="P55" s="108" t="s">
        <v>76</v>
      </c>
      <c r="Q55" s="61">
        <v>6490</v>
      </c>
      <c r="R55" s="110">
        <v>39891.72</v>
      </c>
      <c r="T55" s="110">
        <f t="shared" si="2"/>
        <v>4222.2599999999948</v>
      </c>
    </row>
    <row r="56" spans="1:20">
      <c r="A56" s="216"/>
      <c r="B56" s="104" t="s">
        <v>287</v>
      </c>
      <c r="C56" s="105">
        <f>SUM(C34:C55)</f>
        <v>252841</v>
      </c>
      <c r="D56" s="105">
        <f t="shared" ref="D56:L56" si="4">SUM(D34:D55)</f>
        <v>449902.56</v>
      </c>
      <c r="E56" s="105">
        <f t="shared" si="4"/>
        <v>38722</v>
      </c>
      <c r="F56" s="105">
        <f t="shared" si="4"/>
        <v>485736.1</v>
      </c>
      <c r="G56" s="105">
        <f t="shared" si="4"/>
        <v>1871</v>
      </c>
      <c r="H56" s="105">
        <f t="shared" si="4"/>
        <v>67981.17</v>
      </c>
      <c r="I56" s="105">
        <f t="shared" si="4"/>
        <v>185</v>
      </c>
      <c r="J56" s="105">
        <f t="shared" si="4"/>
        <v>203</v>
      </c>
      <c r="K56" s="105">
        <f t="shared" si="4"/>
        <v>135220</v>
      </c>
      <c r="L56" s="105">
        <f t="shared" si="4"/>
        <v>47790.080000000002</v>
      </c>
      <c r="M56" s="105">
        <f t="shared" si="0"/>
        <v>428839</v>
      </c>
      <c r="N56" s="105">
        <f t="shared" si="1"/>
        <v>1051612.9099999999</v>
      </c>
      <c r="R56" s="110">
        <v>847240.61999999988</v>
      </c>
      <c r="T56" s="110">
        <f t="shared" si="2"/>
        <v>204372.29000000004</v>
      </c>
    </row>
    <row r="57" spans="1:20">
      <c r="A57" s="57">
        <v>48</v>
      </c>
      <c r="B57" s="97" t="s">
        <v>46</v>
      </c>
      <c r="C57" s="98">
        <v>42884</v>
      </c>
      <c r="D57" s="98">
        <v>22492.39</v>
      </c>
      <c r="E57" s="98">
        <v>8789</v>
      </c>
      <c r="F57" s="98">
        <v>4609.6400000000003</v>
      </c>
      <c r="G57" s="98">
        <v>0</v>
      </c>
      <c r="H57" s="98">
        <v>0</v>
      </c>
      <c r="I57" s="98">
        <v>2950</v>
      </c>
      <c r="J57" s="98">
        <v>1547.05</v>
      </c>
      <c r="K57" s="98">
        <v>0</v>
      </c>
      <c r="L57" s="98">
        <v>0</v>
      </c>
      <c r="M57" s="98">
        <f t="shared" si="0"/>
        <v>54623</v>
      </c>
      <c r="N57" s="98">
        <f t="shared" si="1"/>
        <v>28649.079999999998</v>
      </c>
      <c r="P57" s="108" t="s">
        <v>46</v>
      </c>
      <c r="Q57" s="61">
        <v>113141</v>
      </c>
      <c r="R57" s="110">
        <v>24924.899999999998</v>
      </c>
      <c r="T57" s="110">
        <f t="shared" si="2"/>
        <v>3724.1800000000003</v>
      </c>
    </row>
    <row r="58" spans="1:20">
      <c r="A58" s="57">
        <v>49</v>
      </c>
      <c r="B58" s="97" t="s">
        <v>228</v>
      </c>
      <c r="C58" s="98">
        <v>44414</v>
      </c>
      <c r="D58" s="98">
        <v>20644</v>
      </c>
      <c r="E58" s="98">
        <v>6</v>
      </c>
      <c r="F58" s="98">
        <v>208</v>
      </c>
      <c r="G58" s="98">
        <v>0</v>
      </c>
      <c r="H58" s="98">
        <v>0</v>
      </c>
      <c r="I58" s="98">
        <v>96</v>
      </c>
      <c r="J58" s="98">
        <v>170</v>
      </c>
      <c r="K58" s="98">
        <v>0</v>
      </c>
      <c r="L58" s="98">
        <v>0</v>
      </c>
      <c r="M58" s="98">
        <f t="shared" si="0"/>
        <v>44516</v>
      </c>
      <c r="N58" s="98">
        <f t="shared" si="1"/>
        <v>21022</v>
      </c>
      <c r="P58" s="108" t="s">
        <v>228</v>
      </c>
      <c r="Q58" s="61">
        <v>37567</v>
      </c>
      <c r="R58" s="110">
        <v>21152</v>
      </c>
      <c r="T58" s="110">
        <f t="shared" si="2"/>
        <v>-130</v>
      </c>
    </row>
    <row r="59" spans="1:20">
      <c r="A59" s="57">
        <v>50</v>
      </c>
      <c r="B59" s="97" t="s">
        <v>52</v>
      </c>
      <c r="C59" s="98">
        <v>62648</v>
      </c>
      <c r="D59" s="98">
        <v>42526.46</v>
      </c>
      <c r="E59" s="98">
        <v>754</v>
      </c>
      <c r="F59" s="98">
        <v>2563.09</v>
      </c>
      <c r="G59" s="98">
        <v>0</v>
      </c>
      <c r="H59" s="98">
        <v>0</v>
      </c>
      <c r="I59" s="98">
        <v>0</v>
      </c>
      <c r="J59" s="98">
        <v>0</v>
      </c>
      <c r="K59" s="98">
        <v>0</v>
      </c>
      <c r="L59" s="98">
        <v>0</v>
      </c>
      <c r="M59" s="98">
        <f t="shared" si="0"/>
        <v>63402</v>
      </c>
      <c r="N59" s="98">
        <f t="shared" si="1"/>
        <v>45089.55</v>
      </c>
      <c r="P59" s="108" t="s">
        <v>52</v>
      </c>
      <c r="Q59" s="61">
        <v>56495</v>
      </c>
      <c r="R59" s="110">
        <v>38741.57</v>
      </c>
      <c r="T59" s="110">
        <f t="shared" si="2"/>
        <v>6347.9800000000032</v>
      </c>
    </row>
    <row r="60" spans="1:20" s="107" customFormat="1">
      <c r="A60" s="216"/>
      <c r="B60" s="59" t="s">
        <v>293</v>
      </c>
      <c r="C60" s="105">
        <f>SUM(C57:C59)</f>
        <v>149946</v>
      </c>
      <c r="D60" s="105">
        <f t="shared" ref="D60:L60" si="5">SUM(D57:D59)</f>
        <v>85662.85</v>
      </c>
      <c r="E60" s="105">
        <f t="shared" si="5"/>
        <v>9549</v>
      </c>
      <c r="F60" s="105">
        <f t="shared" si="5"/>
        <v>7380.7300000000005</v>
      </c>
      <c r="G60" s="105">
        <f t="shared" si="5"/>
        <v>0</v>
      </c>
      <c r="H60" s="105">
        <f t="shared" si="5"/>
        <v>0</v>
      </c>
      <c r="I60" s="105">
        <f t="shared" si="5"/>
        <v>3046</v>
      </c>
      <c r="J60" s="105">
        <f t="shared" si="5"/>
        <v>1717.05</v>
      </c>
      <c r="K60" s="105">
        <f t="shared" si="5"/>
        <v>0</v>
      </c>
      <c r="L60" s="105">
        <f t="shared" si="5"/>
        <v>0</v>
      </c>
      <c r="M60" s="105">
        <f t="shared" si="0"/>
        <v>162541</v>
      </c>
      <c r="N60" s="105">
        <f t="shared" si="1"/>
        <v>94760.63</v>
      </c>
      <c r="P60" s="108" t="s">
        <v>229</v>
      </c>
      <c r="Q60" s="107">
        <v>207203</v>
      </c>
      <c r="R60" s="111">
        <v>84818.470000000016</v>
      </c>
      <c r="T60" s="110">
        <f t="shared" si="2"/>
        <v>9942.1599999999889</v>
      </c>
    </row>
    <row r="61" spans="1:20">
      <c r="A61" s="57">
        <v>51</v>
      </c>
      <c r="B61" s="58" t="s">
        <v>288</v>
      </c>
      <c r="C61" s="98">
        <v>0</v>
      </c>
      <c r="D61" s="98">
        <v>2535.14</v>
      </c>
      <c r="E61" s="98">
        <v>0</v>
      </c>
      <c r="F61" s="98">
        <v>10382.42</v>
      </c>
      <c r="G61" s="98">
        <v>0</v>
      </c>
      <c r="H61" s="98">
        <v>0</v>
      </c>
      <c r="I61" s="98">
        <v>0</v>
      </c>
      <c r="J61" s="98">
        <v>0</v>
      </c>
      <c r="K61" s="98">
        <v>0</v>
      </c>
      <c r="L61" s="98">
        <v>0</v>
      </c>
      <c r="M61" s="98">
        <f t="shared" si="0"/>
        <v>0</v>
      </c>
      <c r="N61" s="98">
        <f t="shared" si="1"/>
        <v>12917.56</v>
      </c>
      <c r="P61" s="108" t="s">
        <v>261</v>
      </c>
      <c r="Q61" s="61">
        <v>0</v>
      </c>
      <c r="R61" s="110">
        <v>11826.78</v>
      </c>
      <c r="T61" s="110">
        <f t="shared" si="2"/>
        <v>1090.7799999999988</v>
      </c>
    </row>
    <row r="62" spans="1:20" s="107" customFormat="1">
      <c r="A62" s="216"/>
      <c r="B62" s="59" t="s">
        <v>289</v>
      </c>
      <c r="C62" s="105">
        <f>C61</f>
        <v>0</v>
      </c>
      <c r="D62" s="105">
        <f t="shared" ref="D62:L62" si="6">D61</f>
        <v>2535.14</v>
      </c>
      <c r="E62" s="105">
        <f t="shared" si="6"/>
        <v>0</v>
      </c>
      <c r="F62" s="105">
        <f t="shared" si="6"/>
        <v>10382.42</v>
      </c>
      <c r="G62" s="105">
        <f t="shared" si="6"/>
        <v>0</v>
      </c>
      <c r="H62" s="105">
        <f t="shared" si="6"/>
        <v>0</v>
      </c>
      <c r="I62" s="105">
        <f t="shared" si="6"/>
        <v>0</v>
      </c>
      <c r="J62" s="105">
        <f t="shared" si="6"/>
        <v>0</v>
      </c>
      <c r="K62" s="105">
        <f t="shared" si="6"/>
        <v>0</v>
      </c>
      <c r="L62" s="105">
        <f t="shared" si="6"/>
        <v>0</v>
      </c>
      <c r="M62" s="105">
        <f t="shared" si="0"/>
        <v>0</v>
      </c>
      <c r="N62" s="105">
        <f t="shared" si="1"/>
        <v>12917.56</v>
      </c>
      <c r="P62" s="108"/>
      <c r="R62" s="111">
        <v>11826.78</v>
      </c>
      <c r="T62" s="110">
        <f t="shared" si="2"/>
        <v>1090.7799999999988</v>
      </c>
    </row>
    <row r="63" spans="1:20" s="107" customFormat="1">
      <c r="A63" s="216"/>
      <c r="B63" s="59" t="s">
        <v>290</v>
      </c>
      <c r="C63" s="105">
        <f>C62+C60+C56+C33</f>
        <v>857096</v>
      </c>
      <c r="D63" s="105">
        <f t="shared" ref="D63:L63" si="7">D62+D60+D56+D33</f>
        <v>1754620.6300000001</v>
      </c>
      <c r="E63" s="105">
        <f t="shared" si="7"/>
        <v>97046</v>
      </c>
      <c r="F63" s="105">
        <f t="shared" si="7"/>
        <v>1801596.2299999997</v>
      </c>
      <c r="G63" s="105">
        <f t="shared" si="7"/>
        <v>5213</v>
      </c>
      <c r="H63" s="105">
        <f t="shared" si="7"/>
        <v>409860.42</v>
      </c>
      <c r="I63" s="105">
        <f t="shared" si="7"/>
        <v>5977</v>
      </c>
      <c r="J63" s="105">
        <f t="shared" si="7"/>
        <v>14944.86</v>
      </c>
      <c r="K63" s="105">
        <f t="shared" si="7"/>
        <v>152317</v>
      </c>
      <c r="L63" s="105">
        <f t="shared" si="7"/>
        <v>107682.34</v>
      </c>
      <c r="M63" s="105">
        <f t="shared" si="0"/>
        <v>1117649</v>
      </c>
      <c r="N63" s="105">
        <f t="shared" si="1"/>
        <v>4088704.4799999995</v>
      </c>
      <c r="P63" s="108"/>
      <c r="R63" s="111">
        <v>3774740.8899999997</v>
      </c>
      <c r="T63" s="110">
        <f t="shared" si="2"/>
        <v>313963.58999999985</v>
      </c>
    </row>
    <row r="64" spans="1:20" hidden="1">
      <c r="A64" s="60"/>
    </row>
    <row r="65" spans="3:18" hidden="1">
      <c r="C65" s="110">
        <v>774329</v>
      </c>
      <c r="D65" s="110">
        <v>1559128.9</v>
      </c>
      <c r="E65" s="110">
        <v>88822</v>
      </c>
      <c r="F65" s="110">
        <v>1625174.19</v>
      </c>
      <c r="G65" s="110">
        <v>4568</v>
      </c>
      <c r="H65" s="110">
        <v>373382.93000000005</v>
      </c>
      <c r="I65" s="110">
        <v>5660</v>
      </c>
      <c r="J65" s="110">
        <v>17666.859999999997</v>
      </c>
      <c r="K65" s="110">
        <v>10337</v>
      </c>
      <c r="L65" s="110">
        <v>199388.01</v>
      </c>
      <c r="M65" s="110">
        <v>883716</v>
      </c>
      <c r="N65" s="110">
        <v>3774740.8899999997</v>
      </c>
    </row>
    <row r="66" spans="3:18" hidden="1">
      <c r="P66" s="61"/>
      <c r="R66" s="61"/>
    </row>
    <row r="67" spans="3:18" hidden="1">
      <c r="D67" s="110">
        <f t="shared" ref="D67:N67" si="8">D63-D65</f>
        <v>195491.73000000021</v>
      </c>
      <c r="F67" s="110">
        <f t="shared" si="8"/>
        <v>176422.0399999998</v>
      </c>
      <c r="H67" s="110">
        <f t="shared" si="8"/>
        <v>36477.489999999932</v>
      </c>
      <c r="J67" s="110">
        <f t="shared" si="8"/>
        <v>-2721.9999999999964</v>
      </c>
      <c r="L67" s="110">
        <f t="shared" si="8"/>
        <v>-91705.670000000013</v>
      </c>
      <c r="N67" s="110">
        <f t="shared" si="8"/>
        <v>313963.58999999985</v>
      </c>
    </row>
    <row r="68" spans="3:18" hidden="1"/>
    <row r="69" spans="3:18" hidden="1"/>
    <row r="70" spans="3:18" hidden="1"/>
    <row r="71" spans="3:18" hidden="1">
      <c r="M71" s="110">
        <f>D63+F63</f>
        <v>3556216.86</v>
      </c>
    </row>
    <row r="72" spans="3:18" hidden="1"/>
    <row r="73" spans="3:18" hidden="1">
      <c r="M73" s="110">
        <f>D63+F63</f>
        <v>3556216.86</v>
      </c>
    </row>
    <row r="74" spans="3:18" hidden="1">
      <c r="M74" s="108">
        <f>M73*100/'CD Ratio_3(i)'!F63</f>
        <v>14.813643184053664</v>
      </c>
    </row>
    <row r="75" spans="3:18" hidden="1"/>
    <row r="76" spans="3:18" hidden="1"/>
    <row r="79" spans="3:18">
      <c r="F79" s="110" t="s">
        <v>1205</v>
      </c>
      <c r="L79" s="110" t="s">
        <v>1206</v>
      </c>
    </row>
    <row r="82" spans="4:14">
      <c r="D82" s="108"/>
      <c r="N82" s="108"/>
    </row>
    <row r="83" spans="4:14">
      <c r="F83" s="289"/>
      <c r="N83" s="108"/>
    </row>
    <row r="84" spans="4:14">
      <c r="N84" s="108"/>
    </row>
    <row r="86" spans="4:14">
      <c r="D86" s="108"/>
      <c r="N86" s="108"/>
    </row>
  </sheetData>
  <mergeCells count="10">
    <mergeCell ref="A1:N1"/>
    <mergeCell ref="A3:A5"/>
    <mergeCell ref="B3:B5"/>
    <mergeCell ref="C3:N3"/>
    <mergeCell ref="C4:D4"/>
    <mergeCell ref="E4:F4"/>
    <mergeCell ref="G4:H4"/>
    <mergeCell ref="I4:J4"/>
    <mergeCell ref="K4:L4"/>
    <mergeCell ref="M4:N4"/>
  </mergeCells>
  <conditionalFormatting sqref="B6">
    <cfRule type="duplicateValues" dxfId="190" priority="5"/>
  </conditionalFormatting>
  <conditionalFormatting sqref="B22">
    <cfRule type="duplicateValues" dxfId="189" priority="6"/>
  </conditionalFormatting>
  <conditionalFormatting sqref="B33:B34 B26:B30">
    <cfRule type="duplicateValues" dxfId="188" priority="7"/>
  </conditionalFormatting>
  <conditionalFormatting sqref="B52">
    <cfRule type="duplicateValues" dxfId="187" priority="8"/>
  </conditionalFormatting>
  <conditionalFormatting sqref="B56">
    <cfRule type="duplicateValues" dxfId="186" priority="9"/>
  </conditionalFormatting>
  <conditionalFormatting sqref="B58">
    <cfRule type="duplicateValues" dxfId="185" priority="10"/>
  </conditionalFormatting>
  <conditionalFormatting sqref="P38:P43 P1:P35 P45:P52 P55:P1048576">
    <cfRule type="cellIs" dxfId="184" priority="2" operator="greaterThan">
      <formula>100</formula>
    </cfRule>
  </conditionalFormatting>
  <conditionalFormatting sqref="T1:T1048576">
    <cfRule type="cellIs" dxfId="183" priority="1" operator="lessThan">
      <formula>0</formula>
    </cfRule>
  </conditionalFormatting>
  <pageMargins left="0.45" right="0.45" top="0.5" bottom="0.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88"/>
  <sheetViews>
    <sheetView zoomScaleNormal="100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J82" sqref="J82"/>
    </sheetView>
  </sheetViews>
  <sheetFormatPr defaultColWidth="4.42578125" defaultRowHeight="13.5"/>
  <cols>
    <col min="1" max="1" width="4.42578125" style="61"/>
    <col min="2" max="2" width="24.42578125" style="61" bestFit="1" customWidth="1"/>
    <col min="3" max="3" width="6.5703125" style="110" customWidth="1"/>
    <col min="4" max="4" width="8.7109375" style="110" bestFit="1" customWidth="1"/>
    <col min="5" max="5" width="7.85546875" style="110" customWidth="1"/>
    <col min="6" max="6" width="10.140625" style="110" bestFit="1" customWidth="1"/>
    <col min="7" max="7" width="10.5703125" style="110" bestFit="1" customWidth="1"/>
    <col min="8" max="8" width="11.28515625" style="110" bestFit="1" customWidth="1"/>
    <col min="9" max="9" width="6.85546875" style="110" bestFit="1" customWidth="1"/>
    <col min="10" max="10" width="8.28515625" style="110" bestFit="1" customWidth="1"/>
    <col min="11" max="11" width="7.42578125" style="110" customWidth="1"/>
    <col min="12" max="12" width="7.5703125" style="110" bestFit="1" customWidth="1"/>
    <col min="13" max="13" width="10.42578125" style="110" bestFit="1" customWidth="1"/>
    <col min="14" max="14" width="11.5703125" style="110" bestFit="1" customWidth="1"/>
    <col min="15" max="15" width="12" style="110" bestFit="1" customWidth="1"/>
    <col min="16" max="16" width="12.28515625" style="110" bestFit="1" customWidth="1"/>
    <col min="17" max="17" width="10.42578125" style="108" customWidth="1"/>
    <col min="18" max="18" width="9.5703125" style="108" bestFit="1" customWidth="1"/>
    <col min="19" max="19" width="6" style="61" bestFit="1" customWidth="1"/>
    <col min="20" max="20" width="8" style="61" bestFit="1" customWidth="1"/>
    <col min="21" max="16384" width="4.42578125" style="61"/>
  </cols>
  <sheetData>
    <row r="1" spans="1:20" ht="18.75">
      <c r="A1" s="593" t="s">
        <v>744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</row>
    <row r="2" spans="1:20">
      <c r="B2" s="107" t="s">
        <v>134</v>
      </c>
      <c r="K2" s="110" t="s">
        <v>142</v>
      </c>
      <c r="N2" s="111" t="s">
        <v>141</v>
      </c>
    </row>
    <row r="3" spans="1:20" ht="35.1" customHeight="1">
      <c r="A3" s="594" t="s">
        <v>120</v>
      </c>
      <c r="B3" s="594" t="s">
        <v>100</v>
      </c>
      <c r="C3" s="596" t="s">
        <v>751</v>
      </c>
      <c r="D3" s="597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8"/>
      <c r="Q3" s="592" t="s">
        <v>152</v>
      </c>
    </row>
    <row r="4" spans="1:20" ht="24.95" customHeight="1">
      <c r="A4" s="594"/>
      <c r="B4" s="594"/>
      <c r="C4" s="596" t="s">
        <v>135</v>
      </c>
      <c r="D4" s="598"/>
      <c r="E4" s="596" t="s">
        <v>136</v>
      </c>
      <c r="F4" s="598"/>
      <c r="G4" s="596" t="s">
        <v>137</v>
      </c>
      <c r="H4" s="598"/>
      <c r="I4" s="596" t="s">
        <v>138</v>
      </c>
      <c r="J4" s="598"/>
      <c r="K4" s="596" t="s">
        <v>139</v>
      </c>
      <c r="L4" s="598"/>
      <c r="M4" s="596" t="s">
        <v>131</v>
      </c>
      <c r="N4" s="598"/>
      <c r="O4" s="596" t="s">
        <v>140</v>
      </c>
      <c r="P4" s="598"/>
      <c r="Q4" s="592"/>
    </row>
    <row r="5" spans="1:20" ht="15" customHeight="1">
      <c r="A5" s="594"/>
      <c r="B5" s="594"/>
      <c r="C5" s="371" t="s">
        <v>263</v>
      </c>
      <c r="D5" s="371" t="s">
        <v>262</v>
      </c>
      <c r="E5" s="371" t="s">
        <v>263</v>
      </c>
      <c r="F5" s="371" t="s">
        <v>262</v>
      </c>
      <c r="G5" s="371" t="s">
        <v>263</v>
      </c>
      <c r="H5" s="371" t="s">
        <v>262</v>
      </c>
      <c r="I5" s="371" t="s">
        <v>263</v>
      </c>
      <c r="J5" s="371" t="s">
        <v>262</v>
      </c>
      <c r="K5" s="371" t="s">
        <v>263</v>
      </c>
      <c r="L5" s="371" t="s">
        <v>262</v>
      </c>
      <c r="M5" s="371" t="s">
        <v>263</v>
      </c>
      <c r="N5" s="371" t="s">
        <v>262</v>
      </c>
      <c r="O5" s="371" t="s">
        <v>263</v>
      </c>
      <c r="P5" s="371" t="s">
        <v>262</v>
      </c>
      <c r="Q5" s="592"/>
    </row>
    <row r="6" spans="1:20" ht="15" customHeight="1">
      <c r="A6" s="57">
        <v>1</v>
      </c>
      <c r="B6" s="97" t="s">
        <v>55</v>
      </c>
      <c r="C6" s="98">
        <v>0</v>
      </c>
      <c r="D6" s="98">
        <v>0</v>
      </c>
      <c r="E6" s="98">
        <v>3184</v>
      </c>
      <c r="F6" s="98">
        <v>8085</v>
      </c>
      <c r="G6" s="98">
        <v>13958</v>
      </c>
      <c r="H6" s="98">
        <v>43512</v>
      </c>
      <c r="I6" s="98">
        <v>87</v>
      </c>
      <c r="J6" s="98">
        <v>21</v>
      </c>
      <c r="K6" s="98">
        <v>0</v>
      </c>
      <c r="L6" s="98">
        <v>0</v>
      </c>
      <c r="M6" s="98">
        <v>568</v>
      </c>
      <c r="N6" s="98">
        <v>173</v>
      </c>
      <c r="O6" s="98">
        <f>C6+E6+G6+I6+K6+M6+MSMEoutstanding_5!M6+OutstandingAgri_4!K6</f>
        <v>148298</v>
      </c>
      <c r="P6" s="98">
        <f>N6+L6+J6+H6+F6+D6+MSMEoutstanding_5!N6+OutstandingAgri_4!L6</f>
        <v>447917</v>
      </c>
      <c r="Q6" s="99">
        <f>P6*100/'CD Ratio_3(i)'!F6</f>
        <v>63.395216454107086</v>
      </c>
      <c r="T6" s="110"/>
    </row>
    <row r="7" spans="1:20" ht="15" customHeight="1">
      <c r="A7" s="57">
        <v>2</v>
      </c>
      <c r="B7" s="97" t="s">
        <v>56</v>
      </c>
      <c r="C7" s="98">
        <v>2</v>
      </c>
      <c r="D7" s="98">
        <v>1940</v>
      </c>
      <c r="E7" s="98">
        <v>153</v>
      </c>
      <c r="F7" s="98">
        <v>556.84</v>
      </c>
      <c r="G7" s="98">
        <v>1225</v>
      </c>
      <c r="H7" s="98">
        <v>10410.950000000001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98">
        <f>C7+E7+G7+I7+K7+M7+MSMEoutstanding_5!M7+OutstandingAgri_4!K7</f>
        <v>6815</v>
      </c>
      <c r="P7" s="98">
        <f>N7+L7+J7+H7+F7+D7+MSMEoutstanding_5!N7+OutstandingAgri_4!L7</f>
        <v>39332.47</v>
      </c>
      <c r="Q7" s="99">
        <f>P7*100/'CD Ratio_3(i)'!F7</f>
        <v>51.453957225386489</v>
      </c>
      <c r="T7" s="110"/>
    </row>
    <row r="8" spans="1:20" ht="15" customHeight="1">
      <c r="A8" s="57">
        <v>3</v>
      </c>
      <c r="B8" s="97" t="s">
        <v>57</v>
      </c>
      <c r="C8" s="98">
        <v>1</v>
      </c>
      <c r="D8" s="98">
        <v>1</v>
      </c>
      <c r="E8" s="98">
        <v>2505</v>
      </c>
      <c r="F8" s="98">
        <v>6745</v>
      </c>
      <c r="G8" s="98">
        <v>13706</v>
      </c>
      <c r="H8" s="98">
        <v>102527</v>
      </c>
      <c r="I8" s="98">
        <v>325</v>
      </c>
      <c r="J8" s="98">
        <v>539</v>
      </c>
      <c r="K8" s="98">
        <v>1</v>
      </c>
      <c r="L8" s="98">
        <v>1</v>
      </c>
      <c r="M8" s="98">
        <v>9615</v>
      </c>
      <c r="N8" s="98">
        <v>43509</v>
      </c>
      <c r="O8" s="98">
        <f>C8+E8+G8+I8+K8+M8+MSMEoutstanding_5!M8+OutstandingAgri_4!K8</f>
        <v>96224</v>
      </c>
      <c r="P8" s="98">
        <f>N8+L8+J8+H8+F8+D8+MSMEoutstanding_5!N8+OutstandingAgri_4!L8</f>
        <v>675116.17999999993</v>
      </c>
      <c r="Q8" s="99">
        <f>P8*100/'CD Ratio_3(i)'!F8</f>
        <v>83.029601415810788</v>
      </c>
      <c r="T8" s="110"/>
    </row>
    <row r="9" spans="1:20" ht="15" customHeight="1">
      <c r="A9" s="57">
        <v>4</v>
      </c>
      <c r="B9" s="97" t="s">
        <v>58</v>
      </c>
      <c r="C9" s="98">
        <v>0</v>
      </c>
      <c r="D9" s="98">
        <v>0</v>
      </c>
      <c r="E9" s="98">
        <v>10064</v>
      </c>
      <c r="F9" s="98">
        <v>22038</v>
      </c>
      <c r="G9" s="98">
        <v>72125</v>
      </c>
      <c r="H9" s="98">
        <v>103043</v>
      </c>
      <c r="I9" s="98">
        <v>0</v>
      </c>
      <c r="J9" s="98">
        <v>0</v>
      </c>
      <c r="K9" s="98">
        <v>1</v>
      </c>
      <c r="L9" s="98">
        <v>5</v>
      </c>
      <c r="M9" s="98">
        <v>11</v>
      </c>
      <c r="N9" s="98">
        <v>1829</v>
      </c>
      <c r="O9" s="98">
        <f>C9+E9+G9+I9+K9+M9+MSMEoutstanding_5!M9+OutstandingAgri_4!K9</f>
        <v>584961</v>
      </c>
      <c r="P9" s="98">
        <f>N9+L9+J9+H9+F9+D9+MSMEoutstanding_5!N9+OutstandingAgri_4!L9</f>
        <v>1298219</v>
      </c>
      <c r="Q9" s="99">
        <f>P9*100/'CD Ratio_3(i)'!F9</f>
        <v>72.091677592433101</v>
      </c>
      <c r="T9" s="110"/>
    </row>
    <row r="10" spans="1:20" ht="15" customHeight="1">
      <c r="A10" s="57">
        <v>5</v>
      </c>
      <c r="B10" s="97" t="s">
        <v>59</v>
      </c>
      <c r="C10" s="98">
        <v>0</v>
      </c>
      <c r="D10" s="98">
        <v>0</v>
      </c>
      <c r="E10" s="98">
        <v>1312</v>
      </c>
      <c r="F10" s="98">
        <v>2681.19</v>
      </c>
      <c r="G10" s="98">
        <v>19552</v>
      </c>
      <c r="H10" s="98">
        <v>32373.1</v>
      </c>
      <c r="I10" s="98">
        <v>14</v>
      </c>
      <c r="J10" s="98">
        <v>479.08</v>
      </c>
      <c r="K10" s="98">
        <v>3</v>
      </c>
      <c r="L10" s="98">
        <v>383.97</v>
      </c>
      <c r="M10" s="98">
        <v>9255</v>
      </c>
      <c r="N10" s="98">
        <v>7563</v>
      </c>
      <c r="O10" s="98">
        <f>C10+E10+G10+I10+K10+M10+MSMEoutstanding_5!M10+OutstandingAgri_4!K10</f>
        <v>94818</v>
      </c>
      <c r="P10" s="98">
        <f>N10+L10+J10+H10+F10+D10+MSMEoutstanding_5!N10+OutstandingAgri_4!L10</f>
        <v>238051.23</v>
      </c>
      <c r="Q10" s="99">
        <f>P10*100/'CD Ratio_3(i)'!F10</f>
        <v>75.297163679151282</v>
      </c>
      <c r="T10" s="110"/>
    </row>
    <row r="11" spans="1:20" ht="15" customHeight="1">
      <c r="A11" s="57">
        <v>6</v>
      </c>
      <c r="B11" s="100" t="s">
        <v>241</v>
      </c>
      <c r="C11" s="98">
        <v>0</v>
      </c>
      <c r="D11" s="98">
        <v>0</v>
      </c>
      <c r="E11" s="98">
        <v>16</v>
      </c>
      <c r="F11" s="98">
        <v>56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127</v>
      </c>
      <c r="N11" s="98">
        <v>388</v>
      </c>
      <c r="O11" s="98">
        <f>C11+E11+G11+I11+K11+M11+MSMEoutstanding_5!M11+OutstandingAgri_4!K11</f>
        <v>276</v>
      </c>
      <c r="P11" s="98">
        <f>N11+L11+J11+H11+F11+D11+MSMEoutstanding_5!N11+OutstandingAgri_4!L11</f>
        <v>686.92</v>
      </c>
      <c r="Q11" s="99">
        <f>P11*100/'CD Ratio_3(i)'!F11</f>
        <v>99.988355167394474</v>
      </c>
      <c r="T11" s="110"/>
    </row>
    <row r="12" spans="1:20" ht="15" customHeight="1">
      <c r="A12" s="57">
        <v>7</v>
      </c>
      <c r="B12" s="97" t="s">
        <v>60</v>
      </c>
      <c r="C12" s="98">
        <v>0</v>
      </c>
      <c r="D12" s="98">
        <v>0</v>
      </c>
      <c r="E12" s="98">
        <v>2350</v>
      </c>
      <c r="F12" s="98">
        <v>6437.09</v>
      </c>
      <c r="G12" s="98">
        <v>7954</v>
      </c>
      <c r="H12" s="98">
        <v>63831</v>
      </c>
      <c r="I12" s="98">
        <v>1</v>
      </c>
      <c r="J12" s="98">
        <v>7.0000000000000007E-2</v>
      </c>
      <c r="K12" s="98">
        <v>0</v>
      </c>
      <c r="L12" s="98">
        <v>0</v>
      </c>
      <c r="M12" s="98">
        <v>62</v>
      </c>
      <c r="N12" s="98">
        <v>58.5</v>
      </c>
      <c r="O12" s="98">
        <f>C12+E12+G12+I12+K12+M12+MSMEoutstanding_5!M12+OutstandingAgri_4!K12</f>
        <v>79408</v>
      </c>
      <c r="P12" s="98">
        <f>N12+L12+J12+H12+F12+D12+MSMEoutstanding_5!N12+OutstandingAgri_4!L12</f>
        <v>304249.56000000006</v>
      </c>
      <c r="Q12" s="99">
        <f>P12*100/'CD Ratio_3(i)'!F12</f>
        <v>69.651667899451482</v>
      </c>
      <c r="T12" s="110"/>
    </row>
    <row r="13" spans="1:20" s="543" customFormat="1" ht="15" customHeight="1">
      <c r="A13" s="538">
        <v>8</v>
      </c>
      <c r="B13" s="539" t="s">
        <v>61</v>
      </c>
      <c r="C13" s="540">
        <v>0</v>
      </c>
      <c r="D13" s="540">
        <v>0</v>
      </c>
      <c r="E13" s="540">
        <v>11046</v>
      </c>
      <c r="F13" s="540">
        <v>24359</v>
      </c>
      <c r="G13" s="540">
        <v>100842</v>
      </c>
      <c r="H13" s="540">
        <v>144629</v>
      </c>
      <c r="I13" s="540">
        <v>4</v>
      </c>
      <c r="J13" s="540">
        <v>55</v>
      </c>
      <c r="K13" s="540">
        <v>1</v>
      </c>
      <c r="L13" s="540">
        <v>72</v>
      </c>
      <c r="M13" s="540">
        <v>12</v>
      </c>
      <c r="N13" s="540">
        <v>462</v>
      </c>
      <c r="O13" s="540">
        <f>C13+E13+G13+I13+K13+M13+MSMEoutstanding_5!M13+OutstandingAgri_4!K13</f>
        <v>504309</v>
      </c>
      <c r="P13" s="540">
        <f>N13+L13+J13+H13+F13+D13+MSMEoutstanding_5!N13+OutstandingAgri_4!L13</f>
        <v>975212</v>
      </c>
      <c r="Q13" s="541">
        <f>P13*100/'CD Ratio_3(i)'!F13</f>
        <v>80.595433587684056</v>
      </c>
      <c r="R13" s="544"/>
      <c r="T13" s="542"/>
    </row>
    <row r="14" spans="1:20" ht="15" customHeight="1">
      <c r="A14" s="57">
        <v>9</v>
      </c>
      <c r="B14" s="97" t="s">
        <v>48</v>
      </c>
      <c r="C14" s="98">
        <v>9</v>
      </c>
      <c r="D14" s="98">
        <v>1536</v>
      </c>
      <c r="E14" s="98">
        <v>458</v>
      </c>
      <c r="F14" s="98">
        <v>1267</v>
      </c>
      <c r="G14" s="98">
        <v>1250</v>
      </c>
      <c r="H14" s="98">
        <v>8370</v>
      </c>
      <c r="I14" s="98">
        <v>0</v>
      </c>
      <c r="J14" s="98">
        <v>0</v>
      </c>
      <c r="K14" s="98">
        <v>0</v>
      </c>
      <c r="L14" s="98">
        <v>0</v>
      </c>
      <c r="M14" s="98">
        <v>20033</v>
      </c>
      <c r="N14" s="98">
        <v>89400</v>
      </c>
      <c r="O14" s="98">
        <f>C14+E14+G14+I14+K14+M14+MSMEoutstanding_5!M14+OutstandingAgri_4!K14</f>
        <v>42026</v>
      </c>
      <c r="P14" s="98">
        <f>N14+L14+J14+H14+F14+D14+MSMEoutstanding_5!N14+OutstandingAgri_4!L14</f>
        <v>190875</v>
      </c>
      <c r="Q14" s="99">
        <f>P14*100/'CD Ratio_3(i)'!F14</f>
        <v>58.447344569104892</v>
      </c>
      <c r="T14" s="110"/>
    </row>
    <row r="15" spans="1:20" ht="15" customHeight="1">
      <c r="A15" s="57">
        <v>10</v>
      </c>
      <c r="B15" s="97" t="s">
        <v>49</v>
      </c>
      <c r="C15" s="98">
        <v>0</v>
      </c>
      <c r="D15" s="98">
        <v>0</v>
      </c>
      <c r="E15" s="98">
        <v>740</v>
      </c>
      <c r="F15" s="98">
        <v>1803</v>
      </c>
      <c r="G15" s="98">
        <v>2393</v>
      </c>
      <c r="H15" s="98">
        <v>14281</v>
      </c>
      <c r="I15" s="98">
        <v>21</v>
      </c>
      <c r="J15" s="98">
        <v>30</v>
      </c>
      <c r="K15" s="98">
        <v>4</v>
      </c>
      <c r="L15" s="98">
        <v>277</v>
      </c>
      <c r="M15" s="98">
        <v>577</v>
      </c>
      <c r="N15" s="98">
        <v>31</v>
      </c>
      <c r="O15" s="98">
        <f>C15+E15+G15+I15+K15+M15+MSMEoutstanding_5!M15+OutstandingAgri_4!K15</f>
        <v>24173</v>
      </c>
      <c r="P15" s="98">
        <f>N15+L15+J15+H15+F15+D15+MSMEoutstanding_5!N15+OutstandingAgri_4!L15</f>
        <v>72090</v>
      </c>
      <c r="Q15" s="99">
        <f>P15*100/'CD Ratio_3(i)'!F15</f>
        <v>46.024490212852889</v>
      </c>
      <c r="T15" s="110"/>
    </row>
    <row r="16" spans="1:20" ht="15" customHeight="1">
      <c r="A16" s="57">
        <v>11</v>
      </c>
      <c r="B16" s="97" t="s">
        <v>81</v>
      </c>
      <c r="C16" s="98">
        <v>0</v>
      </c>
      <c r="D16" s="98">
        <v>0</v>
      </c>
      <c r="E16" s="98">
        <v>553</v>
      </c>
      <c r="F16" s="98">
        <v>1779</v>
      </c>
      <c r="G16" s="98">
        <v>5177</v>
      </c>
      <c r="H16" s="98">
        <v>38206</v>
      </c>
      <c r="I16" s="98">
        <v>6</v>
      </c>
      <c r="J16" s="98">
        <v>58</v>
      </c>
      <c r="K16" s="98">
        <v>0</v>
      </c>
      <c r="L16" s="98">
        <v>0</v>
      </c>
      <c r="M16" s="98">
        <v>30</v>
      </c>
      <c r="N16" s="98">
        <v>1</v>
      </c>
      <c r="O16" s="98">
        <f>C16+E16+G16+I16+K16+M16+MSMEoutstanding_5!M16+OutstandingAgri_4!K16</f>
        <v>55798</v>
      </c>
      <c r="P16" s="98">
        <f>N16+L16+J16+H16+F16+D16+MSMEoutstanding_5!N16+OutstandingAgri_4!L16</f>
        <v>203278</v>
      </c>
      <c r="Q16" s="99">
        <f>P16*100/'CD Ratio_3(i)'!F16</f>
        <v>53.327771743978005</v>
      </c>
      <c r="T16" s="110"/>
    </row>
    <row r="17" spans="1:20" ht="15" customHeight="1">
      <c r="A17" s="57">
        <v>12</v>
      </c>
      <c r="B17" s="97" t="s">
        <v>62</v>
      </c>
      <c r="C17" s="98">
        <v>0</v>
      </c>
      <c r="D17" s="98">
        <v>0</v>
      </c>
      <c r="E17" s="98">
        <v>130</v>
      </c>
      <c r="F17" s="98">
        <v>390</v>
      </c>
      <c r="G17" s="98">
        <v>489</v>
      </c>
      <c r="H17" s="98">
        <v>3014</v>
      </c>
      <c r="I17" s="98">
        <v>0</v>
      </c>
      <c r="J17" s="98">
        <v>0</v>
      </c>
      <c r="K17" s="98">
        <v>0</v>
      </c>
      <c r="L17" s="98">
        <v>0</v>
      </c>
      <c r="M17" s="98">
        <v>241</v>
      </c>
      <c r="N17" s="98">
        <v>2962</v>
      </c>
      <c r="O17" s="98">
        <f>C17+E17+G17+I17+K17+M17+MSMEoutstanding_5!M17+OutstandingAgri_4!K17</f>
        <v>7357</v>
      </c>
      <c r="P17" s="98">
        <f>N17+L17+J17+H17+F17+D17+MSMEoutstanding_5!N17+OutstandingAgri_4!L17</f>
        <v>23047</v>
      </c>
      <c r="Q17" s="99">
        <f>P17*100/'CD Ratio_3(i)'!F17</f>
        <v>59.833322386261003</v>
      </c>
      <c r="T17" s="110"/>
    </row>
    <row r="18" spans="1:20" ht="15" customHeight="1">
      <c r="A18" s="57">
        <v>13</v>
      </c>
      <c r="B18" s="97" t="s">
        <v>63</v>
      </c>
      <c r="C18" s="98">
        <v>0</v>
      </c>
      <c r="D18" s="98">
        <v>0</v>
      </c>
      <c r="E18" s="98">
        <v>314</v>
      </c>
      <c r="F18" s="98">
        <v>920</v>
      </c>
      <c r="G18" s="98">
        <v>3354</v>
      </c>
      <c r="H18" s="98">
        <v>8368</v>
      </c>
      <c r="I18" s="98">
        <v>0</v>
      </c>
      <c r="J18" s="98">
        <v>0</v>
      </c>
      <c r="K18" s="98">
        <v>0</v>
      </c>
      <c r="L18" s="98">
        <v>0</v>
      </c>
      <c r="M18" s="98">
        <v>235</v>
      </c>
      <c r="N18" s="98">
        <v>60</v>
      </c>
      <c r="O18" s="98">
        <f>C18+E18+G18+I18+K18+M18+MSMEoutstanding_5!M18+OutstandingAgri_4!K18</f>
        <v>11240</v>
      </c>
      <c r="P18" s="98">
        <f>N18+L18+J18+H18+F18+D18+MSMEoutstanding_5!N18+OutstandingAgri_4!L18</f>
        <v>57325</v>
      </c>
      <c r="Q18" s="99">
        <f>P18*100/'CD Ratio_3(i)'!F18</f>
        <v>55.619699998059495</v>
      </c>
      <c r="T18" s="110"/>
    </row>
    <row r="19" spans="1:20" ht="15" customHeight="1">
      <c r="A19" s="57">
        <v>14</v>
      </c>
      <c r="B19" s="101" t="s">
        <v>206</v>
      </c>
      <c r="C19" s="98">
        <v>1</v>
      </c>
      <c r="D19" s="98">
        <v>50</v>
      </c>
      <c r="E19" s="98">
        <v>1704</v>
      </c>
      <c r="F19" s="98">
        <v>4373.38</v>
      </c>
      <c r="G19" s="98">
        <v>6882</v>
      </c>
      <c r="H19" s="98">
        <v>22321.599999999999</v>
      </c>
      <c r="I19" s="98">
        <v>8</v>
      </c>
      <c r="J19" s="98">
        <v>25.5</v>
      </c>
      <c r="K19" s="98">
        <v>6</v>
      </c>
      <c r="L19" s="98">
        <v>9.15</v>
      </c>
      <c r="M19" s="98">
        <v>61</v>
      </c>
      <c r="N19" s="98">
        <v>21218.74</v>
      </c>
      <c r="O19" s="98">
        <f>C19+E19+G19+I19+K19+M19+MSMEoutstanding_5!M19+OutstandingAgri_4!K19</f>
        <v>28837</v>
      </c>
      <c r="P19" s="98">
        <f>N19+L19+J19+H19+F19+D19+MSMEoutstanding_5!N19+OutstandingAgri_4!L19</f>
        <v>131155.84000000003</v>
      </c>
      <c r="Q19" s="99">
        <f>P19*100/'CD Ratio_3(i)'!F19</f>
        <v>54.469936633290672</v>
      </c>
      <c r="T19" s="110"/>
    </row>
    <row r="20" spans="1:20" ht="15" customHeight="1">
      <c r="A20" s="57">
        <v>15</v>
      </c>
      <c r="B20" s="97" t="s">
        <v>207</v>
      </c>
      <c r="C20" s="98">
        <v>0</v>
      </c>
      <c r="D20" s="98">
        <v>0</v>
      </c>
      <c r="E20" s="98">
        <v>185</v>
      </c>
      <c r="F20" s="98">
        <v>465.45</v>
      </c>
      <c r="G20" s="98">
        <v>1294</v>
      </c>
      <c r="H20" s="98">
        <v>9402.58</v>
      </c>
      <c r="I20" s="98">
        <v>14</v>
      </c>
      <c r="J20" s="98">
        <v>402.2</v>
      </c>
      <c r="K20" s="98">
        <v>0</v>
      </c>
      <c r="L20" s="98">
        <v>0</v>
      </c>
      <c r="M20" s="98">
        <v>427</v>
      </c>
      <c r="N20" s="98">
        <v>609.26</v>
      </c>
      <c r="O20" s="98">
        <f>C20+E20+G20+I20+K20+M20+MSMEoutstanding_5!M20+OutstandingAgri_4!K20</f>
        <v>13791</v>
      </c>
      <c r="P20" s="98">
        <f>N20+L20+J20+H20+F20+D20+MSMEoutstanding_5!N20+OutstandingAgri_4!L20</f>
        <v>58047.969999999994</v>
      </c>
      <c r="Q20" s="99">
        <f>P20*100/'CD Ratio_3(i)'!F20</f>
        <v>86.007186036863615</v>
      </c>
      <c r="S20" s="110"/>
      <c r="T20" s="110"/>
    </row>
    <row r="21" spans="1:20" ht="15" customHeight="1">
      <c r="A21" s="57">
        <v>16</v>
      </c>
      <c r="B21" s="97" t="s">
        <v>64</v>
      </c>
      <c r="C21" s="98">
        <v>2</v>
      </c>
      <c r="D21" s="98">
        <v>1475</v>
      </c>
      <c r="E21" s="98">
        <v>7421</v>
      </c>
      <c r="F21" s="98">
        <v>17330</v>
      </c>
      <c r="G21" s="98">
        <v>46315</v>
      </c>
      <c r="H21" s="98">
        <v>103358</v>
      </c>
      <c r="I21" s="98">
        <v>3</v>
      </c>
      <c r="J21" s="98">
        <v>106</v>
      </c>
      <c r="K21" s="98">
        <v>0</v>
      </c>
      <c r="L21" s="98">
        <v>0</v>
      </c>
      <c r="M21" s="98">
        <v>2418</v>
      </c>
      <c r="N21" s="98">
        <v>345</v>
      </c>
      <c r="O21" s="98">
        <f>C21+E21+G21+I21+K21+M21+MSMEoutstanding_5!M21+OutstandingAgri_4!K21</f>
        <v>296036</v>
      </c>
      <c r="P21" s="98">
        <f>N21+L21+J21+H21+F21+D21+MSMEoutstanding_5!N21+OutstandingAgri_4!L21</f>
        <v>799910</v>
      </c>
      <c r="Q21" s="99">
        <f>P21*100/'CD Ratio_3(i)'!F21</f>
        <v>55.412122072785081</v>
      </c>
      <c r="T21" s="110"/>
    </row>
    <row r="22" spans="1:20" ht="15" customHeight="1">
      <c r="A22" s="57">
        <v>17</v>
      </c>
      <c r="B22" s="102" t="s">
        <v>69</v>
      </c>
      <c r="C22" s="98">
        <v>0</v>
      </c>
      <c r="D22" s="98">
        <v>0</v>
      </c>
      <c r="E22" s="98">
        <v>24</v>
      </c>
      <c r="F22" s="98">
        <v>58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98">
        <f>C22+E22+G22+I22+K22+M22+MSMEoutstanding_5!M22+OutstandingAgri_4!K22</f>
        <v>506</v>
      </c>
      <c r="P22" s="98">
        <f>N22+L22+J22+H22+F22+D22+MSMEoutstanding_5!N22+OutstandingAgri_4!L22</f>
        <v>4637.3799999999992</v>
      </c>
      <c r="Q22" s="99">
        <f>P22*100/'CD Ratio_3(i)'!F22</f>
        <v>18.411068762902968</v>
      </c>
      <c r="S22" s="110"/>
      <c r="T22" s="110"/>
    </row>
    <row r="23" spans="1:20" ht="15" customHeight="1">
      <c r="A23" s="57">
        <v>18</v>
      </c>
      <c r="B23" s="97" t="s">
        <v>208</v>
      </c>
      <c r="C23" s="98">
        <v>0</v>
      </c>
      <c r="D23" s="98">
        <v>0</v>
      </c>
      <c r="E23" s="98">
        <v>6</v>
      </c>
      <c r="F23" s="98">
        <v>10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98">
        <f>C23+E23+G23+I23+K23+M23+MSMEoutstanding_5!M23+OutstandingAgri_4!K23</f>
        <v>414</v>
      </c>
      <c r="P23" s="98">
        <f>N23+L23+J23+H23+F23+D23+MSMEoutstanding_5!N23+OutstandingAgri_4!L23</f>
        <v>15819.800000000001</v>
      </c>
      <c r="Q23" s="99">
        <f>P23*100/'CD Ratio_3(i)'!F23</f>
        <v>56.671323661114094</v>
      </c>
      <c r="S23" s="110"/>
      <c r="T23" s="110"/>
    </row>
    <row r="24" spans="1:20" ht="15" customHeight="1">
      <c r="A24" s="57">
        <v>19</v>
      </c>
      <c r="B24" s="103" t="s">
        <v>209</v>
      </c>
      <c r="C24" s="98">
        <v>0</v>
      </c>
      <c r="D24" s="98">
        <v>0</v>
      </c>
      <c r="E24" s="98">
        <v>149</v>
      </c>
      <c r="F24" s="98">
        <v>466.57</v>
      </c>
      <c r="G24" s="98">
        <v>1017</v>
      </c>
      <c r="H24" s="98">
        <v>3849.72</v>
      </c>
      <c r="I24" s="98">
        <v>0</v>
      </c>
      <c r="J24" s="98">
        <v>0</v>
      </c>
      <c r="K24" s="98">
        <v>0</v>
      </c>
      <c r="L24" s="98">
        <v>0</v>
      </c>
      <c r="M24" s="98">
        <v>0</v>
      </c>
      <c r="N24" s="98">
        <v>0</v>
      </c>
      <c r="O24" s="98">
        <f>C24+E24+G24+I24+K24+M24+MSMEoutstanding_5!M24+OutstandingAgri_4!K24</f>
        <v>2304</v>
      </c>
      <c r="P24" s="98">
        <f>N24+L24+J24+H24+F24+D24+MSMEoutstanding_5!N24+OutstandingAgri_4!L24</f>
        <v>15553.169999999998</v>
      </c>
      <c r="Q24" s="99">
        <f>P24*100/'CD Ratio_3(i)'!F24</f>
        <v>22.401546904031452</v>
      </c>
      <c r="S24" s="110"/>
      <c r="T24" s="110"/>
    </row>
    <row r="25" spans="1:20" ht="15" customHeight="1">
      <c r="A25" s="57">
        <v>20</v>
      </c>
      <c r="B25" s="97" t="s">
        <v>210</v>
      </c>
      <c r="C25" s="98">
        <v>0</v>
      </c>
      <c r="D25" s="98">
        <v>0</v>
      </c>
      <c r="E25" s="98">
        <v>39</v>
      </c>
      <c r="F25" s="98">
        <v>198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</v>
      </c>
      <c r="M25" s="98">
        <v>0</v>
      </c>
      <c r="N25" s="98">
        <v>0</v>
      </c>
      <c r="O25" s="98">
        <f>C25+E25+G25+I25+K25+M25+MSMEoutstanding_5!M25+OutstandingAgri_4!K25</f>
        <v>416</v>
      </c>
      <c r="P25" s="98">
        <f>N25+L25+J25+H25+F25+D25+MSMEoutstanding_5!N25+OutstandingAgri_4!L25</f>
        <v>21663</v>
      </c>
      <c r="Q25" s="99">
        <f>P25*100/'CD Ratio_3(i)'!F25</f>
        <v>92.51366586949095</v>
      </c>
      <c r="S25" s="110"/>
      <c r="T25" s="110"/>
    </row>
    <row r="26" spans="1:20" ht="15" customHeight="1">
      <c r="A26" s="57">
        <v>21</v>
      </c>
      <c r="B26" s="97" t="s">
        <v>211</v>
      </c>
      <c r="C26" s="98">
        <v>0</v>
      </c>
      <c r="D26" s="98">
        <v>0</v>
      </c>
      <c r="E26" s="98">
        <v>189</v>
      </c>
      <c r="F26" s="98">
        <v>507</v>
      </c>
      <c r="G26" s="98">
        <v>0</v>
      </c>
      <c r="H26" s="98">
        <v>0</v>
      </c>
      <c r="I26" s="98">
        <v>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f>C26+E26+G26+I26+K26+M26+MSMEoutstanding_5!M26+OutstandingAgri_4!K26</f>
        <v>2168</v>
      </c>
      <c r="P26" s="98">
        <f>N26+L26+J26+H26+F26+D26+MSMEoutstanding_5!N26+OutstandingAgri_4!L26</f>
        <v>7481</v>
      </c>
      <c r="Q26" s="99">
        <f>P26*100/'CD Ratio_3(i)'!F26</f>
        <v>24.811780703790919</v>
      </c>
      <c r="S26" s="110"/>
      <c r="T26" s="110"/>
    </row>
    <row r="27" spans="1:20" ht="15" customHeight="1">
      <c r="A27" s="57">
        <v>22</v>
      </c>
      <c r="B27" s="97" t="s">
        <v>70</v>
      </c>
      <c r="C27" s="98">
        <v>27</v>
      </c>
      <c r="D27" s="98">
        <v>9826</v>
      </c>
      <c r="E27" s="98">
        <v>24496</v>
      </c>
      <c r="F27" s="98">
        <v>69674</v>
      </c>
      <c r="G27" s="98">
        <v>229108</v>
      </c>
      <c r="H27" s="98">
        <v>728723</v>
      </c>
      <c r="I27" s="98">
        <v>289</v>
      </c>
      <c r="J27" s="98">
        <v>7481</v>
      </c>
      <c r="K27" s="98">
        <v>43</v>
      </c>
      <c r="L27" s="98">
        <v>63723</v>
      </c>
      <c r="M27" s="98">
        <v>0</v>
      </c>
      <c r="N27" s="98">
        <v>0</v>
      </c>
      <c r="O27" s="98">
        <f>C27+E27+G27+I27+K27+M27+MSMEoutstanding_5!M27+OutstandingAgri_4!K27</f>
        <v>1020475</v>
      </c>
      <c r="P27" s="98">
        <f>N27+L27+J27+H27+F27+D27+MSMEoutstanding_5!N27+OutstandingAgri_4!L27</f>
        <v>2638114</v>
      </c>
      <c r="Q27" s="99">
        <f>P27*100/'CD Ratio_3(i)'!F27</f>
        <v>45.953769509476032</v>
      </c>
      <c r="T27" s="110"/>
    </row>
    <row r="28" spans="1:20" ht="15" customHeight="1">
      <c r="A28" s="57">
        <v>23</v>
      </c>
      <c r="B28" s="97" t="s">
        <v>65</v>
      </c>
      <c r="C28" s="98">
        <v>0</v>
      </c>
      <c r="D28" s="98">
        <v>0</v>
      </c>
      <c r="E28" s="98">
        <v>915</v>
      </c>
      <c r="F28" s="98">
        <v>2038</v>
      </c>
      <c r="G28" s="98">
        <v>7675</v>
      </c>
      <c r="H28" s="98">
        <v>16182</v>
      </c>
      <c r="I28" s="98">
        <v>0</v>
      </c>
      <c r="J28" s="98">
        <v>0</v>
      </c>
      <c r="K28" s="98">
        <v>0</v>
      </c>
      <c r="L28" s="98">
        <v>0</v>
      </c>
      <c r="M28" s="98">
        <v>553</v>
      </c>
      <c r="N28" s="98">
        <v>22</v>
      </c>
      <c r="O28" s="98">
        <f>C28+E28+G28+I28+K28+M28+MSMEoutstanding_5!M28+OutstandingAgri_4!K28</f>
        <v>32078</v>
      </c>
      <c r="P28" s="98">
        <f>N28+L28+J28+H28+F28+D28+MSMEoutstanding_5!N28+OutstandingAgri_4!L28</f>
        <v>70840</v>
      </c>
      <c r="Q28" s="99">
        <f>P28*100/'CD Ratio_3(i)'!F28</f>
        <v>44.940398779427902</v>
      </c>
    </row>
    <row r="29" spans="1:20" ht="15" customHeight="1">
      <c r="A29" s="57">
        <v>24</v>
      </c>
      <c r="B29" s="97" t="s">
        <v>212</v>
      </c>
      <c r="C29" s="98">
        <v>0</v>
      </c>
      <c r="D29" s="98">
        <v>0</v>
      </c>
      <c r="E29" s="98">
        <v>2450</v>
      </c>
      <c r="F29" s="98">
        <v>6054</v>
      </c>
      <c r="G29" s="98">
        <v>4885</v>
      </c>
      <c r="H29" s="98">
        <v>946</v>
      </c>
      <c r="I29" s="98">
        <v>0</v>
      </c>
      <c r="J29" s="98">
        <v>0</v>
      </c>
      <c r="K29" s="98">
        <v>0</v>
      </c>
      <c r="L29" s="98">
        <v>0</v>
      </c>
      <c r="M29" s="98">
        <v>13223</v>
      </c>
      <c r="N29" s="98">
        <v>22522</v>
      </c>
      <c r="O29" s="98">
        <f>C29+E29+G29+I29+K29+M29+MSMEoutstanding_5!M29+OutstandingAgri_4!K29</f>
        <v>135677</v>
      </c>
      <c r="P29" s="98">
        <f>N29+L29+J29+H29+F29+D29+MSMEoutstanding_5!N29+OutstandingAgri_4!L29</f>
        <v>304155</v>
      </c>
      <c r="Q29" s="99">
        <f>P29*100/'CD Ratio_3(i)'!F29</f>
        <v>67.089611388022306</v>
      </c>
    </row>
    <row r="30" spans="1:20" ht="15" customHeight="1">
      <c r="A30" s="57">
        <v>25</v>
      </c>
      <c r="B30" s="97" t="s">
        <v>66</v>
      </c>
      <c r="C30" s="98">
        <v>0</v>
      </c>
      <c r="D30" s="98">
        <v>0</v>
      </c>
      <c r="E30" s="98">
        <v>3599</v>
      </c>
      <c r="F30" s="98">
        <v>8368</v>
      </c>
      <c r="G30" s="98">
        <v>34931</v>
      </c>
      <c r="H30" s="98">
        <v>79018</v>
      </c>
      <c r="I30" s="98">
        <v>332</v>
      </c>
      <c r="J30" s="98">
        <v>4872</v>
      </c>
      <c r="K30" s="98">
        <v>2</v>
      </c>
      <c r="L30" s="98">
        <v>867</v>
      </c>
      <c r="M30" s="98">
        <v>832</v>
      </c>
      <c r="N30" s="98">
        <v>45829</v>
      </c>
      <c r="O30" s="98">
        <f>C30+E30+G30+I30+K30+M30+MSMEoutstanding_5!M30+OutstandingAgri_4!K30</f>
        <v>209666</v>
      </c>
      <c r="P30" s="98">
        <f>N30+L30+J30+H30+F30+D30+MSMEoutstanding_5!N30+OutstandingAgri_4!L30</f>
        <v>655204</v>
      </c>
      <c r="Q30" s="99">
        <f>P30*100/'CD Ratio_3(i)'!F30</f>
        <v>67.123010884669426</v>
      </c>
    </row>
    <row r="31" spans="1:20" ht="15" customHeight="1">
      <c r="A31" s="57">
        <v>26</v>
      </c>
      <c r="B31" s="100" t="s">
        <v>67</v>
      </c>
      <c r="C31" s="98">
        <v>0</v>
      </c>
      <c r="D31" s="98">
        <v>0</v>
      </c>
      <c r="E31" s="98">
        <v>91</v>
      </c>
      <c r="F31" s="98">
        <v>273</v>
      </c>
      <c r="G31" s="98">
        <v>478</v>
      </c>
      <c r="H31" s="98">
        <v>4617</v>
      </c>
      <c r="I31" s="98">
        <v>0</v>
      </c>
      <c r="J31" s="98">
        <v>0</v>
      </c>
      <c r="K31" s="98">
        <v>0</v>
      </c>
      <c r="L31" s="98">
        <v>0</v>
      </c>
      <c r="M31" s="98">
        <v>23</v>
      </c>
      <c r="N31" s="98">
        <v>26</v>
      </c>
      <c r="O31" s="98">
        <f>C31+E31+G31+I31+K31+M31+MSMEoutstanding_5!M31+OutstandingAgri_4!K31</f>
        <v>2201</v>
      </c>
      <c r="P31" s="98">
        <f>N31+L31+J31+H31+F31+D31+MSMEoutstanding_5!N31+OutstandingAgri_4!L31</f>
        <v>12051</v>
      </c>
      <c r="Q31" s="99">
        <f>P31*100/'CD Ratio_3(i)'!F31</f>
        <v>41.68886428892656</v>
      </c>
    </row>
    <row r="32" spans="1:20" ht="15" customHeight="1">
      <c r="A32" s="57">
        <v>27</v>
      </c>
      <c r="B32" s="97" t="s">
        <v>50</v>
      </c>
      <c r="C32" s="98">
        <v>0</v>
      </c>
      <c r="D32" s="98">
        <v>0</v>
      </c>
      <c r="E32" s="98">
        <v>451</v>
      </c>
      <c r="F32" s="98">
        <v>1110</v>
      </c>
      <c r="G32" s="98">
        <v>1999</v>
      </c>
      <c r="H32" s="98">
        <v>15640</v>
      </c>
      <c r="I32" s="98">
        <v>0</v>
      </c>
      <c r="J32" s="98">
        <v>0</v>
      </c>
      <c r="K32" s="98">
        <v>0</v>
      </c>
      <c r="L32" s="98">
        <v>0</v>
      </c>
      <c r="M32" s="98">
        <v>432</v>
      </c>
      <c r="N32" s="98">
        <v>795.91</v>
      </c>
      <c r="O32" s="98">
        <f>C32+E32+G32+I32+K32+M32+MSMEoutstanding_5!M32+OutstandingAgri_4!K32</f>
        <v>19972</v>
      </c>
      <c r="P32" s="98">
        <f>N32+L32+J32+H32+F32+D32+MSMEoutstanding_5!N32+OutstandingAgri_4!L32</f>
        <v>69552</v>
      </c>
      <c r="Q32" s="99">
        <f>P32*100/'CD Ratio_3(i)'!F32</f>
        <v>76.897222713603398</v>
      </c>
    </row>
    <row r="33" spans="1:18" s="107" customFormat="1" ht="15" customHeight="1">
      <c r="A33" s="370"/>
      <c r="B33" s="104" t="s">
        <v>292</v>
      </c>
      <c r="C33" s="105">
        <f>SUM(C6:C32)</f>
        <v>42</v>
      </c>
      <c r="D33" s="105">
        <f t="shared" ref="D33:N33" si="0">SUM(D6:D32)</f>
        <v>14828</v>
      </c>
      <c r="E33" s="105">
        <f t="shared" si="0"/>
        <v>74544</v>
      </c>
      <c r="F33" s="105">
        <f t="shared" si="0"/>
        <v>188042.52000000002</v>
      </c>
      <c r="G33" s="105">
        <f t="shared" si="0"/>
        <v>576609</v>
      </c>
      <c r="H33" s="105">
        <f t="shared" si="0"/>
        <v>1556622.95</v>
      </c>
      <c r="I33" s="105">
        <f t="shared" si="0"/>
        <v>1104</v>
      </c>
      <c r="J33" s="105">
        <f t="shared" si="0"/>
        <v>14068.85</v>
      </c>
      <c r="K33" s="105">
        <f t="shared" si="0"/>
        <v>61</v>
      </c>
      <c r="L33" s="105">
        <f t="shared" si="0"/>
        <v>65338.12</v>
      </c>
      <c r="M33" s="105">
        <f t="shared" si="0"/>
        <v>58735</v>
      </c>
      <c r="N33" s="105">
        <f t="shared" si="0"/>
        <v>237804.41</v>
      </c>
      <c r="O33" s="105">
        <f>C33+E33+G33+I33+K33+M33+MSMEoutstanding_5!M33+OutstandingAgri_4!K33</f>
        <v>3420244</v>
      </c>
      <c r="P33" s="105">
        <f>N33+L33+J33+H33+F33+D33+MSMEoutstanding_5!N33+OutstandingAgri_4!L33</f>
        <v>9329583.5199999996</v>
      </c>
      <c r="Q33" s="96">
        <f>P33*100/'CD Ratio_3(i)'!F33</f>
        <v>59.266566884247439</v>
      </c>
      <c r="R33" s="289"/>
    </row>
    <row r="34" spans="1:18" ht="15" customHeight="1">
      <c r="A34" s="57">
        <v>28</v>
      </c>
      <c r="B34" s="97" t="s">
        <v>47</v>
      </c>
      <c r="C34" s="98">
        <v>0</v>
      </c>
      <c r="D34" s="98">
        <v>0</v>
      </c>
      <c r="E34" s="98">
        <v>373</v>
      </c>
      <c r="F34" s="98">
        <v>1635</v>
      </c>
      <c r="G34" s="98">
        <v>6746</v>
      </c>
      <c r="H34" s="98">
        <v>68348</v>
      </c>
      <c r="I34" s="98">
        <v>0</v>
      </c>
      <c r="J34" s="98">
        <v>0</v>
      </c>
      <c r="K34" s="98">
        <v>0</v>
      </c>
      <c r="L34" s="98">
        <v>0</v>
      </c>
      <c r="M34" s="98">
        <v>53536</v>
      </c>
      <c r="N34" s="98">
        <v>4772</v>
      </c>
      <c r="O34" s="98">
        <f>C34+E34+G34+I34+K34+M34+MSMEoutstanding_5!M34+OutstandingAgri_4!K34</f>
        <v>182561</v>
      </c>
      <c r="P34" s="98">
        <f>N34+L34+J34+H34+F34+D34+MSMEoutstanding_5!N34+OutstandingAgri_4!L34</f>
        <v>329094</v>
      </c>
      <c r="Q34" s="99">
        <f>P34*100/'CD Ratio_3(i)'!F34</f>
        <v>52.350111073021864</v>
      </c>
    </row>
    <row r="35" spans="1:18" ht="15" customHeight="1">
      <c r="A35" s="57">
        <v>29</v>
      </c>
      <c r="B35" s="97" t="s">
        <v>214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2090</v>
      </c>
      <c r="N35" s="98">
        <v>78.11</v>
      </c>
      <c r="O35" s="98">
        <f>C35+E35+G35+I35+K35+M35+MSMEoutstanding_5!M35+OutstandingAgri_4!K35</f>
        <v>226488</v>
      </c>
      <c r="P35" s="98">
        <f>N35+L35+J35+H35+F35+D35+MSMEoutstanding_5!N35+OutstandingAgri_4!L35</f>
        <v>70791.41</v>
      </c>
      <c r="Q35" s="99">
        <f>P35*100/'CD Ratio_3(i)'!F35</f>
        <v>95.57260200440605</v>
      </c>
    </row>
    <row r="36" spans="1:18" ht="15" customHeight="1">
      <c r="A36" s="57">
        <v>30</v>
      </c>
      <c r="B36" s="58" t="s">
        <v>215</v>
      </c>
      <c r="C36" s="98">
        <v>0</v>
      </c>
      <c r="D36" s="98">
        <v>0</v>
      </c>
      <c r="E36" s="98">
        <v>0</v>
      </c>
      <c r="F36" s="98">
        <v>0</v>
      </c>
      <c r="G36" s="98">
        <v>7</v>
      </c>
      <c r="H36" s="98">
        <v>161.68</v>
      </c>
      <c r="I36" s="98">
        <v>0</v>
      </c>
      <c r="J36" s="98">
        <v>0</v>
      </c>
      <c r="K36" s="98">
        <v>0</v>
      </c>
      <c r="L36" s="98">
        <v>0</v>
      </c>
      <c r="M36" s="98">
        <v>89</v>
      </c>
      <c r="N36" s="98">
        <v>364.5</v>
      </c>
      <c r="O36" s="98">
        <f>C36+E36+G36+I36+K36+M36+MSMEoutstanding_5!M36+OutstandingAgri_4!K36</f>
        <v>153</v>
      </c>
      <c r="P36" s="98">
        <f>N36+L36+J36+H36+F36+D36+MSMEoutstanding_5!N36+OutstandingAgri_4!L36</f>
        <v>677.94</v>
      </c>
      <c r="Q36" s="99">
        <f>P36*100/'CD Ratio_3(i)'!F36</f>
        <v>99.983777007595322</v>
      </c>
    </row>
    <row r="37" spans="1:18" ht="15" customHeight="1">
      <c r="A37" s="57">
        <v>31</v>
      </c>
      <c r="B37" s="58" t="s">
        <v>78</v>
      </c>
      <c r="C37" s="98">
        <v>0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1</v>
      </c>
      <c r="N37" s="98">
        <v>1</v>
      </c>
      <c r="O37" s="98">
        <f>C37+E37+G37+I37+K37+M37+MSMEoutstanding_5!M37+OutstandingAgri_4!K37</f>
        <v>1</v>
      </c>
      <c r="P37" s="98">
        <f>N37+L37+J37+H37+F37+D37+MSMEoutstanding_5!N37+OutstandingAgri_4!L37</f>
        <v>1</v>
      </c>
      <c r="Q37" s="99">
        <f>P37*100/'CD Ratio_3(i)'!F37</f>
        <v>100</v>
      </c>
    </row>
    <row r="38" spans="1:18" ht="15" customHeight="1">
      <c r="A38" s="57">
        <v>32</v>
      </c>
      <c r="B38" s="97" t="s">
        <v>51</v>
      </c>
      <c r="C38" s="98">
        <v>0</v>
      </c>
      <c r="D38" s="98">
        <v>0</v>
      </c>
      <c r="E38" s="98">
        <v>1</v>
      </c>
      <c r="F38" s="98">
        <v>5.4</v>
      </c>
      <c r="G38" s="98">
        <v>37</v>
      </c>
      <c r="H38" s="98">
        <v>290.49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  <c r="N38" s="98">
        <v>0</v>
      </c>
      <c r="O38" s="98">
        <f>C38+E38+G38+I38+K38+M38+MSMEoutstanding_5!M38+OutstandingAgri_4!K38</f>
        <v>150</v>
      </c>
      <c r="P38" s="98">
        <f>N38+L38+J38+H38+F38+D38+MSMEoutstanding_5!N38+OutstandingAgri_4!L38</f>
        <v>5121.2899999999991</v>
      </c>
      <c r="Q38" s="99">
        <f>P38*100/'CD Ratio_3(i)'!F38</f>
        <v>54.409108680316507</v>
      </c>
    </row>
    <row r="39" spans="1:18" ht="15" customHeight="1">
      <c r="A39" s="57">
        <v>33</v>
      </c>
      <c r="B39" s="97" t="s">
        <v>216</v>
      </c>
      <c r="C39" s="98">
        <v>0</v>
      </c>
      <c r="D39" s="98">
        <v>0</v>
      </c>
      <c r="E39" s="98">
        <v>1</v>
      </c>
      <c r="F39" s="98">
        <v>2</v>
      </c>
      <c r="G39" s="98">
        <v>406</v>
      </c>
      <c r="H39" s="98">
        <v>1846</v>
      </c>
      <c r="I39" s="98">
        <v>0</v>
      </c>
      <c r="J39" s="98">
        <v>0</v>
      </c>
      <c r="K39" s="98">
        <v>1</v>
      </c>
      <c r="L39" s="98">
        <v>0</v>
      </c>
      <c r="M39" s="98">
        <v>0</v>
      </c>
      <c r="N39" s="98">
        <v>0</v>
      </c>
      <c r="O39" s="98">
        <f>C39+E39+G39+I39+K39+M39+MSMEoutstanding_5!M39+OutstandingAgri_4!K39</f>
        <v>25935</v>
      </c>
      <c r="P39" s="98">
        <f>N39+L39+J39+H39+F39+D39+MSMEoutstanding_5!N39+OutstandingAgri_4!L39</f>
        <v>47816</v>
      </c>
      <c r="Q39" s="99">
        <f>P39*100/'CD Ratio_3(i)'!F39</f>
        <v>84.812848926669417</v>
      </c>
    </row>
    <row r="40" spans="1:18" ht="15" customHeight="1">
      <c r="A40" s="57">
        <v>34</v>
      </c>
      <c r="B40" s="97" t="s">
        <v>217</v>
      </c>
      <c r="C40" s="98">
        <v>0</v>
      </c>
      <c r="D40" s="98">
        <v>0</v>
      </c>
      <c r="E40" s="98">
        <v>0</v>
      </c>
      <c r="F40" s="98">
        <v>0</v>
      </c>
      <c r="G40" s="98">
        <v>0</v>
      </c>
      <c r="H40" s="98">
        <v>0</v>
      </c>
      <c r="I40" s="98">
        <v>0</v>
      </c>
      <c r="J40" s="98">
        <v>0</v>
      </c>
      <c r="K40" s="98">
        <v>0</v>
      </c>
      <c r="L40" s="98">
        <v>0</v>
      </c>
      <c r="M40" s="98">
        <v>0</v>
      </c>
      <c r="N40" s="98">
        <v>0</v>
      </c>
      <c r="O40" s="98">
        <f>C40+E40+G40+I40+K40+M40+MSMEoutstanding_5!M40+OutstandingAgri_4!K40</f>
        <v>0</v>
      </c>
      <c r="P40" s="98">
        <f>N40+L40+J40+H40+F40+D40+MSMEoutstanding_5!N40+OutstandingAgri_4!L40</f>
        <v>0</v>
      </c>
      <c r="Q40" s="99">
        <f>P40*100/'CD Ratio_3(i)'!F40</f>
        <v>0</v>
      </c>
    </row>
    <row r="41" spans="1:18" ht="15" customHeight="1">
      <c r="A41" s="57">
        <v>35</v>
      </c>
      <c r="B41" s="97" t="s">
        <v>218</v>
      </c>
      <c r="C41" s="98">
        <v>0</v>
      </c>
      <c r="D41" s="98">
        <v>0</v>
      </c>
      <c r="E41" s="98">
        <v>13</v>
      </c>
      <c r="F41" s="98">
        <v>25</v>
      </c>
      <c r="G41" s="98">
        <v>137</v>
      </c>
      <c r="H41" s="98">
        <v>902</v>
      </c>
      <c r="I41" s="98">
        <v>0</v>
      </c>
      <c r="J41" s="98">
        <v>0</v>
      </c>
      <c r="K41" s="98">
        <v>0</v>
      </c>
      <c r="L41" s="98">
        <v>0</v>
      </c>
      <c r="M41" s="98">
        <v>19</v>
      </c>
      <c r="N41" s="98">
        <v>7</v>
      </c>
      <c r="O41" s="98">
        <f>C41+E41+G41+I41+K41+M41+MSMEoutstanding_5!M41+OutstandingAgri_4!K41</f>
        <v>3057</v>
      </c>
      <c r="P41" s="98">
        <f>N41+L41+J41+H41+F41+D41+MSMEoutstanding_5!N41+OutstandingAgri_4!L41</f>
        <v>10424</v>
      </c>
      <c r="Q41" s="99">
        <f>P41*100/'CD Ratio_3(i)'!F41</f>
        <v>56.763232411239379</v>
      </c>
    </row>
    <row r="42" spans="1:18" ht="15" customHeight="1">
      <c r="A42" s="57">
        <v>36</v>
      </c>
      <c r="B42" s="97" t="s">
        <v>71</v>
      </c>
      <c r="C42" s="98">
        <v>0</v>
      </c>
      <c r="D42" s="98">
        <v>0</v>
      </c>
      <c r="E42" s="98">
        <v>1434</v>
      </c>
      <c r="F42" s="98">
        <v>2816</v>
      </c>
      <c r="G42" s="98">
        <v>11294</v>
      </c>
      <c r="H42" s="98">
        <v>76461</v>
      </c>
      <c r="I42" s="98">
        <v>1</v>
      </c>
      <c r="J42" s="98">
        <v>10</v>
      </c>
      <c r="K42" s="98">
        <v>0</v>
      </c>
      <c r="L42" s="98">
        <v>0</v>
      </c>
      <c r="M42" s="98">
        <v>1286</v>
      </c>
      <c r="N42" s="98">
        <v>170</v>
      </c>
      <c r="O42" s="98">
        <f>C42+E42+G42+I42+K42+M42+MSMEoutstanding_5!M42+OutstandingAgri_4!K42</f>
        <v>302514</v>
      </c>
      <c r="P42" s="98">
        <f>N42+L42+J42+H42+F42+D42+MSMEoutstanding_5!N42+OutstandingAgri_4!L42</f>
        <v>754049</v>
      </c>
      <c r="Q42" s="99">
        <f>P42*100/'CD Ratio_3(i)'!F42</f>
        <v>57.496911838714105</v>
      </c>
    </row>
    <row r="43" spans="1:18" ht="15" customHeight="1">
      <c r="A43" s="57">
        <v>37</v>
      </c>
      <c r="B43" s="97" t="s">
        <v>72</v>
      </c>
      <c r="C43" s="98">
        <v>0</v>
      </c>
      <c r="D43" s="98">
        <v>0</v>
      </c>
      <c r="E43" s="98">
        <v>365</v>
      </c>
      <c r="F43" s="98">
        <v>578</v>
      </c>
      <c r="G43" s="98">
        <v>6226</v>
      </c>
      <c r="H43" s="98">
        <v>28593</v>
      </c>
      <c r="I43" s="98">
        <v>0</v>
      </c>
      <c r="J43" s="98">
        <v>0</v>
      </c>
      <c r="K43" s="98">
        <v>2</v>
      </c>
      <c r="L43" s="98">
        <v>2002</v>
      </c>
      <c r="M43" s="98">
        <v>0</v>
      </c>
      <c r="N43" s="98">
        <v>0</v>
      </c>
      <c r="O43" s="98">
        <f>C43+E43+G43+I43+K43+M43+MSMEoutstanding_5!M43+OutstandingAgri_4!K43</f>
        <v>155077</v>
      </c>
      <c r="P43" s="98">
        <f>N43+L43+J43+H43+F43+D43+MSMEoutstanding_5!N43+OutstandingAgri_4!L43</f>
        <v>577886</v>
      </c>
      <c r="Q43" s="99">
        <f>P43*100/'CD Ratio_3(i)'!F43</f>
        <v>51.980786701807091</v>
      </c>
    </row>
    <row r="44" spans="1:18" ht="15" customHeight="1">
      <c r="A44" s="57">
        <v>38</v>
      </c>
      <c r="B44" s="97" t="s">
        <v>219</v>
      </c>
      <c r="C44" s="98">
        <v>0</v>
      </c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  <c r="J44" s="98">
        <v>0</v>
      </c>
      <c r="K44" s="98">
        <v>0</v>
      </c>
      <c r="L44" s="98">
        <v>0</v>
      </c>
      <c r="M44" s="98">
        <v>14</v>
      </c>
      <c r="N44" s="98">
        <v>1</v>
      </c>
      <c r="O44" s="98">
        <f>C44+E44+G44+I44+K44+M44+MSMEoutstanding_5!M44+OutstandingAgri_4!K44</f>
        <v>105508</v>
      </c>
      <c r="P44" s="98">
        <f>N44+L44+J44+H44+F44+D44+MSMEoutstanding_5!N44+OutstandingAgri_4!L44</f>
        <v>17873</v>
      </c>
      <c r="Q44" s="99">
        <f>P44*100/'CD Ratio_3(i)'!F44</f>
        <v>94.616199047114875</v>
      </c>
    </row>
    <row r="45" spans="1:18" ht="15" customHeight="1">
      <c r="A45" s="57">
        <v>39</v>
      </c>
      <c r="B45" s="97" t="s">
        <v>220</v>
      </c>
      <c r="C45" s="98">
        <v>0</v>
      </c>
      <c r="D45" s="98">
        <v>0</v>
      </c>
      <c r="E45" s="98">
        <v>0</v>
      </c>
      <c r="F45" s="98">
        <v>0</v>
      </c>
      <c r="G45" s="98">
        <v>1</v>
      </c>
      <c r="H45" s="98">
        <v>0.9</v>
      </c>
      <c r="I45" s="98">
        <v>0</v>
      </c>
      <c r="J45" s="98">
        <v>0</v>
      </c>
      <c r="K45" s="98">
        <v>0</v>
      </c>
      <c r="L45" s="98">
        <v>0</v>
      </c>
      <c r="M45" s="98">
        <v>0</v>
      </c>
      <c r="N45" s="98">
        <v>0</v>
      </c>
      <c r="O45" s="98">
        <f>C45+E45+G45+I45+K45+M45+MSMEoutstanding_5!M45+OutstandingAgri_4!K45</f>
        <v>62093</v>
      </c>
      <c r="P45" s="98">
        <f>N45+L45+J45+H45+F45+D45+MSMEoutstanding_5!N45+OutstandingAgri_4!L45</f>
        <v>164199.4</v>
      </c>
      <c r="Q45" s="99">
        <f>P45*100/'CD Ratio_3(i)'!F45</f>
        <v>56.54249311294766</v>
      </c>
    </row>
    <row r="46" spans="1:18" ht="15" customHeight="1">
      <c r="A46" s="57">
        <v>40</v>
      </c>
      <c r="B46" s="97" t="s">
        <v>221</v>
      </c>
      <c r="C46" s="98">
        <v>0</v>
      </c>
      <c r="D46" s="98">
        <v>0</v>
      </c>
      <c r="E46" s="98">
        <v>10</v>
      </c>
      <c r="F46" s="98">
        <v>32</v>
      </c>
      <c r="G46" s="98">
        <v>82</v>
      </c>
      <c r="H46" s="98">
        <v>940</v>
      </c>
      <c r="I46" s="98">
        <v>0</v>
      </c>
      <c r="J46" s="98">
        <v>0</v>
      </c>
      <c r="K46" s="98">
        <v>0</v>
      </c>
      <c r="L46" s="98">
        <v>0</v>
      </c>
      <c r="M46" s="98">
        <v>21</v>
      </c>
      <c r="N46" s="98">
        <v>206</v>
      </c>
      <c r="O46" s="98">
        <f>C46+E46+G46+I46+K46+M46+MSMEoutstanding_5!M46+OutstandingAgri_4!K46</f>
        <v>368</v>
      </c>
      <c r="P46" s="98">
        <f>N46+L46+J46+H46+F46+D46+MSMEoutstanding_5!N46+OutstandingAgri_4!L46</f>
        <v>2047</v>
      </c>
      <c r="Q46" s="99">
        <f>P46*100/'CD Ratio_3(i)'!F46</f>
        <v>63.492555831265506</v>
      </c>
    </row>
    <row r="47" spans="1:18" ht="15" customHeight="1">
      <c r="A47" s="57">
        <v>41</v>
      </c>
      <c r="B47" s="97" t="s">
        <v>222</v>
      </c>
      <c r="C47" s="98">
        <v>0</v>
      </c>
      <c r="D47" s="98">
        <v>0</v>
      </c>
      <c r="E47" s="98">
        <v>11</v>
      </c>
      <c r="F47" s="98">
        <v>34.450000000000003</v>
      </c>
      <c r="G47" s="98">
        <v>157</v>
      </c>
      <c r="H47" s="98">
        <v>2363.27</v>
      </c>
      <c r="I47" s="98">
        <v>0</v>
      </c>
      <c r="J47" s="98">
        <v>0</v>
      </c>
      <c r="K47" s="98">
        <v>0</v>
      </c>
      <c r="L47" s="98">
        <v>0</v>
      </c>
      <c r="M47" s="98">
        <v>854</v>
      </c>
      <c r="N47" s="98">
        <v>9267.7099999999991</v>
      </c>
      <c r="O47" s="98">
        <f>C47+E47+G47+I47+K47+M47+MSMEoutstanding_5!M47+OutstandingAgri_4!K47</f>
        <v>2164</v>
      </c>
      <c r="P47" s="98">
        <f>N47+L47+J47+H47+F47+D47+MSMEoutstanding_5!N47+OutstandingAgri_4!L47</f>
        <v>24855.480000000003</v>
      </c>
      <c r="Q47" s="99">
        <f>P47*100/'CD Ratio_3(i)'!F47</f>
        <v>70.043059234627748</v>
      </c>
    </row>
    <row r="48" spans="1:18" ht="15" customHeight="1">
      <c r="A48" s="57">
        <v>42</v>
      </c>
      <c r="B48" s="97" t="s">
        <v>223</v>
      </c>
      <c r="C48" s="98">
        <v>0</v>
      </c>
      <c r="D48" s="98">
        <v>0</v>
      </c>
      <c r="E48" s="98">
        <v>0</v>
      </c>
      <c r="F48" s="98">
        <v>0</v>
      </c>
      <c r="G48" s="98">
        <v>0</v>
      </c>
      <c r="H48" s="98">
        <v>0</v>
      </c>
      <c r="I48" s="98">
        <v>0</v>
      </c>
      <c r="J48" s="98">
        <v>0</v>
      </c>
      <c r="K48" s="98">
        <v>0</v>
      </c>
      <c r="L48" s="98">
        <v>0</v>
      </c>
      <c r="M48" s="98">
        <v>0</v>
      </c>
      <c r="N48" s="98">
        <v>0</v>
      </c>
      <c r="O48" s="98">
        <f>C48+E48+G48+I48+K48+M48+MSMEoutstanding_5!M48+OutstandingAgri_4!K48</f>
        <v>1588</v>
      </c>
      <c r="P48" s="98">
        <f>N48+L48+J48+H48+F48+D48+MSMEoutstanding_5!N48+OutstandingAgri_4!L48</f>
        <v>15667</v>
      </c>
      <c r="Q48" s="99">
        <f>P48*100/'CD Ratio_3(i)'!F48</f>
        <v>100</v>
      </c>
    </row>
    <row r="49" spans="1:18" ht="15" customHeight="1">
      <c r="A49" s="57">
        <v>43</v>
      </c>
      <c r="B49" s="106" t="s">
        <v>73</v>
      </c>
      <c r="C49" s="98">
        <v>0</v>
      </c>
      <c r="D49" s="98">
        <v>0</v>
      </c>
      <c r="E49" s="98">
        <v>1</v>
      </c>
      <c r="F49" s="98">
        <v>6</v>
      </c>
      <c r="G49" s="98">
        <v>156</v>
      </c>
      <c r="H49" s="98">
        <v>726</v>
      </c>
      <c r="I49" s="98">
        <v>0</v>
      </c>
      <c r="J49" s="98">
        <v>0</v>
      </c>
      <c r="K49" s="98">
        <v>0</v>
      </c>
      <c r="L49" s="98">
        <v>0</v>
      </c>
      <c r="M49" s="98">
        <v>128</v>
      </c>
      <c r="N49" s="98">
        <v>883</v>
      </c>
      <c r="O49" s="98">
        <f>C49+E49+G49+I49+K49+M49+MSMEoutstanding_5!M49+OutstandingAgri_4!K49</f>
        <v>37408</v>
      </c>
      <c r="P49" s="98">
        <f>N49+L49+J49+H49+F49+D49+MSMEoutstanding_5!N49+OutstandingAgri_4!L49</f>
        <v>166717</v>
      </c>
      <c r="Q49" s="99">
        <f>P49*100/'CD Ratio_3(i)'!F49</f>
        <v>71.985198554397897</v>
      </c>
    </row>
    <row r="50" spans="1:18" ht="15" customHeight="1">
      <c r="A50" s="57">
        <v>44</v>
      </c>
      <c r="B50" s="97" t="s">
        <v>224</v>
      </c>
      <c r="C50" s="98">
        <v>0</v>
      </c>
      <c r="D50" s="98">
        <v>0</v>
      </c>
      <c r="E50" s="98">
        <v>0</v>
      </c>
      <c r="F50" s="98">
        <v>0</v>
      </c>
      <c r="G50" s="98">
        <v>10</v>
      </c>
      <c r="H50" s="98">
        <v>86</v>
      </c>
      <c r="I50" s="98">
        <v>0</v>
      </c>
      <c r="J50" s="98">
        <v>0</v>
      </c>
      <c r="K50" s="98">
        <v>0</v>
      </c>
      <c r="L50" s="98">
        <v>0</v>
      </c>
      <c r="M50" s="98">
        <v>116</v>
      </c>
      <c r="N50" s="98">
        <v>893.72</v>
      </c>
      <c r="O50" s="98">
        <f>C50+E50+G50+I50+K50+M50+MSMEoutstanding_5!M50+OutstandingAgri_4!K50</f>
        <v>128</v>
      </c>
      <c r="P50" s="98">
        <f>N50+L50+J50+H50+F50+D50+MSMEoutstanding_5!N50+OutstandingAgri_4!L50</f>
        <v>1263.72</v>
      </c>
      <c r="Q50" s="99">
        <f>P50*100/'CD Ratio_3(i)'!F50</f>
        <v>21.437150127226463</v>
      </c>
    </row>
    <row r="51" spans="1:18" ht="15" customHeight="1">
      <c r="A51" s="57">
        <v>45</v>
      </c>
      <c r="B51" s="97" t="s">
        <v>225</v>
      </c>
      <c r="C51" s="98">
        <v>0</v>
      </c>
      <c r="D51" s="98">
        <v>0</v>
      </c>
      <c r="E51" s="98">
        <v>877</v>
      </c>
      <c r="F51" s="98">
        <v>98</v>
      </c>
      <c r="G51" s="98">
        <v>472</v>
      </c>
      <c r="H51" s="98">
        <v>69</v>
      </c>
      <c r="I51" s="98">
        <v>0</v>
      </c>
      <c r="J51" s="98">
        <v>0</v>
      </c>
      <c r="K51" s="98">
        <v>0</v>
      </c>
      <c r="L51" s="98">
        <v>0</v>
      </c>
      <c r="M51" s="98">
        <v>153321</v>
      </c>
      <c r="N51" s="98">
        <v>18259</v>
      </c>
      <c r="O51" s="98">
        <f>C51+E51+G51+I51+K51+M51+MSMEoutstanding_5!M51+OutstandingAgri_4!K51</f>
        <v>179164</v>
      </c>
      <c r="P51" s="98">
        <f>N51+L51+J51+H51+F51+D51+MSMEoutstanding_5!N51+OutstandingAgri_4!L51</f>
        <v>59707</v>
      </c>
      <c r="Q51" s="99">
        <f>P51*100/'CD Ratio_3(i)'!F51</f>
        <v>86.64238449036452</v>
      </c>
    </row>
    <row r="52" spans="1:18" ht="15" customHeight="1">
      <c r="A52" s="57">
        <v>46</v>
      </c>
      <c r="B52" s="97" t="s">
        <v>226</v>
      </c>
      <c r="C52" s="98">
        <v>0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8">
        <v>0</v>
      </c>
      <c r="K52" s="98">
        <v>0</v>
      </c>
      <c r="L52" s="98">
        <v>0</v>
      </c>
      <c r="M52" s="98">
        <v>0</v>
      </c>
      <c r="N52" s="98">
        <v>0</v>
      </c>
      <c r="O52" s="98">
        <f>C52+E52+G52+I52+K52+M52+MSMEoutstanding_5!M52+OutstandingAgri_4!K52</f>
        <v>168</v>
      </c>
      <c r="P52" s="98">
        <f>N52+L52+J52+H52+F52+D52+MSMEoutstanding_5!N52+OutstandingAgri_4!L52</f>
        <v>5069.5</v>
      </c>
      <c r="Q52" s="99">
        <f>P52*100/'CD Ratio_3(i)'!F52</f>
        <v>85.055870608368849</v>
      </c>
    </row>
    <row r="53" spans="1:18" ht="15" customHeight="1">
      <c r="A53" s="57">
        <v>47</v>
      </c>
      <c r="B53" s="97" t="s">
        <v>77</v>
      </c>
      <c r="C53" s="98">
        <v>0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98">
        <v>0</v>
      </c>
      <c r="J53" s="98">
        <v>0</v>
      </c>
      <c r="K53" s="98">
        <v>0</v>
      </c>
      <c r="L53" s="98">
        <v>0</v>
      </c>
      <c r="M53" s="98">
        <v>122</v>
      </c>
      <c r="N53" s="98">
        <v>1974</v>
      </c>
      <c r="O53" s="98">
        <f>C53+E53+G53+I53+K53+M53+MSMEoutstanding_5!M53+OutstandingAgri_4!K53</f>
        <v>122</v>
      </c>
      <c r="P53" s="98">
        <f>N53+L53+J53+H53+F53+D53+MSMEoutstanding_5!N53+OutstandingAgri_4!L53</f>
        <v>1974</v>
      </c>
      <c r="Q53" s="99">
        <f>P53*100/'CD Ratio_3(i)'!F53</f>
        <v>100</v>
      </c>
    </row>
    <row r="54" spans="1:18" ht="15" customHeight="1">
      <c r="A54" s="57">
        <v>48</v>
      </c>
      <c r="B54" s="97" t="s">
        <v>227</v>
      </c>
      <c r="C54" s="98">
        <v>0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0</v>
      </c>
      <c r="K54" s="98">
        <v>0</v>
      </c>
      <c r="L54" s="98">
        <v>0</v>
      </c>
      <c r="M54" s="98">
        <v>0</v>
      </c>
      <c r="N54" s="98">
        <v>0</v>
      </c>
      <c r="O54" s="98">
        <f>C54+E54+G54+I54+K54+M54+MSMEoutstanding_5!M54+OutstandingAgri_4!K54</f>
        <v>729</v>
      </c>
      <c r="P54" s="98">
        <f>N54+L54+J54+H54+F54+D54+MSMEoutstanding_5!N54+OutstandingAgri_4!L54</f>
        <v>5257</v>
      </c>
      <c r="Q54" s="99">
        <f>P54*100/'CD Ratio_3(i)'!F54</f>
        <v>100.00038044656819</v>
      </c>
    </row>
    <row r="55" spans="1:18" ht="15" customHeight="1">
      <c r="A55" s="57">
        <v>49</v>
      </c>
      <c r="B55" s="97" t="s">
        <v>76</v>
      </c>
      <c r="C55" s="98">
        <v>0</v>
      </c>
      <c r="D55" s="98">
        <v>0</v>
      </c>
      <c r="E55" s="98">
        <v>0</v>
      </c>
      <c r="F55" s="98">
        <v>0</v>
      </c>
      <c r="G55" s="98">
        <v>96</v>
      </c>
      <c r="H55" s="98">
        <v>649.29</v>
      </c>
      <c r="I55" s="98">
        <v>0</v>
      </c>
      <c r="J55" s="98">
        <v>0</v>
      </c>
      <c r="K55" s="98">
        <v>0</v>
      </c>
      <c r="L55" s="98">
        <v>0</v>
      </c>
      <c r="M55" s="98">
        <v>92</v>
      </c>
      <c r="N55" s="98">
        <v>29.26</v>
      </c>
      <c r="O55" s="98">
        <f>C55+E55+G55+I55+K55+M55+MSMEoutstanding_5!M55+OutstandingAgri_4!K55</f>
        <v>23866</v>
      </c>
      <c r="P55" s="98">
        <f>N55+L55+J55+H55+F55+D55+MSMEoutstanding_5!N55+OutstandingAgri_4!L55</f>
        <v>71291.41</v>
      </c>
      <c r="Q55" s="99">
        <f>P55*100/'CD Ratio_3(i)'!F55</f>
        <v>78.990713871798036</v>
      </c>
    </row>
    <row r="56" spans="1:18" ht="15" customHeight="1">
      <c r="A56" s="59"/>
      <c r="B56" s="104" t="s">
        <v>287</v>
      </c>
      <c r="C56" s="105">
        <f>SUM(C34:C55)</f>
        <v>0</v>
      </c>
      <c r="D56" s="105">
        <f t="shared" ref="D56:N56" si="1">SUM(D34:D55)</f>
        <v>0</v>
      </c>
      <c r="E56" s="105">
        <f t="shared" si="1"/>
        <v>3086</v>
      </c>
      <c r="F56" s="105">
        <f t="shared" si="1"/>
        <v>5231.8499999999995</v>
      </c>
      <c r="G56" s="105">
        <f t="shared" si="1"/>
        <v>25827</v>
      </c>
      <c r="H56" s="105">
        <f t="shared" si="1"/>
        <v>181436.62999999998</v>
      </c>
      <c r="I56" s="105">
        <f t="shared" si="1"/>
        <v>1</v>
      </c>
      <c r="J56" s="105">
        <f t="shared" si="1"/>
        <v>10</v>
      </c>
      <c r="K56" s="105">
        <f t="shared" si="1"/>
        <v>3</v>
      </c>
      <c r="L56" s="105">
        <f t="shared" si="1"/>
        <v>2002</v>
      </c>
      <c r="M56" s="105">
        <f t="shared" si="1"/>
        <v>211689</v>
      </c>
      <c r="N56" s="105">
        <f t="shared" si="1"/>
        <v>36906.300000000003</v>
      </c>
      <c r="O56" s="105">
        <f>C56+E56+G56+I56+K56+M56+MSMEoutstanding_5!M56+OutstandingAgri_4!K56</f>
        <v>1309242</v>
      </c>
      <c r="P56" s="105">
        <f>N56+L56+J56+H56+F56+D56+MSMEoutstanding_5!N56+OutstandingAgri_4!L56</f>
        <v>2331782.15</v>
      </c>
      <c r="Q56" s="96">
        <f>P56*100/'CD Ratio_3(i)'!F56</f>
        <v>58.524359597099135</v>
      </c>
    </row>
    <row r="57" spans="1:18" ht="15" customHeight="1">
      <c r="A57" s="57">
        <v>48</v>
      </c>
      <c r="B57" s="58" t="s">
        <v>46</v>
      </c>
      <c r="C57" s="98">
        <v>0</v>
      </c>
      <c r="D57" s="98">
        <v>0</v>
      </c>
      <c r="E57" s="98">
        <v>1193</v>
      </c>
      <c r="F57" s="98">
        <v>2886.96</v>
      </c>
      <c r="G57" s="98">
        <v>151080</v>
      </c>
      <c r="H57" s="98">
        <v>77374.19</v>
      </c>
      <c r="I57" s="98">
        <v>0</v>
      </c>
      <c r="J57" s="98">
        <v>0</v>
      </c>
      <c r="K57" s="98">
        <v>82</v>
      </c>
      <c r="L57" s="98">
        <v>13.81</v>
      </c>
      <c r="M57" s="98">
        <v>12870</v>
      </c>
      <c r="N57" s="98">
        <v>3126.29</v>
      </c>
      <c r="O57" s="98">
        <f>C57+E57+G57+I57+K57+M57+MSMEoutstanding_5!M57+OutstandingAgri_4!K57</f>
        <v>382637</v>
      </c>
      <c r="P57" s="98">
        <f>N57+L57+J57+H57+F57+D57+MSMEoutstanding_5!N57+OutstandingAgri_4!L57</f>
        <v>355159.82000000007</v>
      </c>
      <c r="Q57" s="99">
        <f>P57*100/'CD Ratio_3(i)'!F57</f>
        <v>88.768237850609864</v>
      </c>
    </row>
    <row r="58" spans="1:18" ht="15" customHeight="1">
      <c r="A58" s="57">
        <v>49</v>
      </c>
      <c r="B58" s="58" t="s">
        <v>228</v>
      </c>
      <c r="C58" s="98">
        <v>0</v>
      </c>
      <c r="D58" s="98">
        <v>0</v>
      </c>
      <c r="E58" s="98">
        <v>625</v>
      </c>
      <c r="F58" s="98">
        <v>1214</v>
      </c>
      <c r="G58" s="98">
        <v>61285</v>
      </c>
      <c r="H58" s="98">
        <v>49588</v>
      </c>
      <c r="I58" s="98">
        <v>0</v>
      </c>
      <c r="J58" s="98">
        <v>0</v>
      </c>
      <c r="K58" s="98">
        <v>723</v>
      </c>
      <c r="L58" s="98">
        <v>160</v>
      </c>
      <c r="M58" s="98">
        <v>11143</v>
      </c>
      <c r="N58" s="98">
        <v>4479</v>
      </c>
      <c r="O58" s="98">
        <f>C58+E58+G58+I58+K58+M58+MSMEoutstanding_5!M58+OutstandingAgri_4!K58</f>
        <v>338891</v>
      </c>
      <c r="P58" s="98">
        <f>N58+L58+J58+H58+F58+D58+MSMEoutstanding_5!N58+OutstandingAgri_4!L58</f>
        <v>242886</v>
      </c>
      <c r="Q58" s="99">
        <f>P58*100/'CD Ratio_3(i)'!F58</f>
        <v>93.556587857357457</v>
      </c>
    </row>
    <row r="59" spans="1:18" ht="15" customHeight="1">
      <c r="A59" s="57">
        <v>50</v>
      </c>
      <c r="B59" s="58" t="s">
        <v>52</v>
      </c>
      <c r="C59" s="98">
        <v>0</v>
      </c>
      <c r="D59" s="98">
        <v>0</v>
      </c>
      <c r="E59" s="98">
        <v>2077</v>
      </c>
      <c r="F59" s="98">
        <v>4474.76</v>
      </c>
      <c r="G59" s="98">
        <v>65344</v>
      </c>
      <c r="H59" s="98">
        <v>59163.51</v>
      </c>
      <c r="I59" s="98">
        <v>0</v>
      </c>
      <c r="J59" s="98">
        <v>0</v>
      </c>
      <c r="K59" s="98">
        <v>0</v>
      </c>
      <c r="L59" s="98">
        <v>0</v>
      </c>
      <c r="M59" s="98">
        <v>0</v>
      </c>
      <c r="N59" s="98">
        <v>0</v>
      </c>
      <c r="O59" s="98">
        <f>C59+E59+G59+I59+K59+M59+MSMEoutstanding_5!M59+OutstandingAgri_4!K59</f>
        <v>337891</v>
      </c>
      <c r="P59" s="98">
        <f>N59+L59+J59+H59+F59+D59+MSMEoutstanding_5!N59+OutstandingAgri_4!L59</f>
        <v>410396.82</v>
      </c>
      <c r="Q59" s="99">
        <f>P59*100/'CD Ratio_3(i)'!F59</f>
        <v>91.463074873782091</v>
      </c>
    </row>
    <row r="60" spans="1:18" s="107" customFormat="1">
      <c r="A60" s="370"/>
      <c r="B60" s="59" t="s">
        <v>293</v>
      </c>
      <c r="C60" s="105">
        <f>SUM(C57:C59)</f>
        <v>0</v>
      </c>
      <c r="D60" s="105">
        <f t="shared" ref="D60:N60" si="2">SUM(D57:D59)</f>
        <v>0</v>
      </c>
      <c r="E60" s="105">
        <f t="shared" si="2"/>
        <v>3895</v>
      </c>
      <c r="F60" s="105">
        <f t="shared" si="2"/>
        <v>8575.7200000000012</v>
      </c>
      <c r="G60" s="105">
        <f t="shared" si="2"/>
        <v>277709</v>
      </c>
      <c r="H60" s="105">
        <f t="shared" si="2"/>
        <v>186125.7</v>
      </c>
      <c r="I60" s="105">
        <f t="shared" si="2"/>
        <v>0</v>
      </c>
      <c r="J60" s="105">
        <f t="shared" si="2"/>
        <v>0</v>
      </c>
      <c r="K60" s="105">
        <f t="shared" si="2"/>
        <v>805</v>
      </c>
      <c r="L60" s="105">
        <f t="shared" si="2"/>
        <v>173.81</v>
      </c>
      <c r="M60" s="105">
        <f t="shared" si="2"/>
        <v>24013</v>
      </c>
      <c r="N60" s="105">
        <f t="shared" si="2"/>
        <v>7605.29</v>
      </c>
      <c r="O60" s="105">
        <f>C60+E60+G60+I60+K60+M60+MSMEoutstanding_5!M60+OutstandingAgri_4!K60</f>
        <v>1059419</v>
      </c>
      <c r="P60" s="105">
        <f>N60+L60+J60+H60+F60+D60+MSMEoutstanding_5!N60+OutstandingAgri_4!L60</f>
        <v>1008442.64</v>
      </c>
      <c r="Q60" s="96">
        <f>P60*100/'CD Ratio_3(i)'!F60</f>
        <v>90.980680008522086</v>
      </c>
      <c r="R60" s="289"/>
    </row>
    <row r="61" spans="1:18">
      <c r="A61" s="57">
        <v>51</v>
      </c>
      <c r="B61" s="58" t="s">
        <v>288</v>
      </c>
      <c r="C61" s="98">
        <v>0</v>
      </c>
      <c r="D61" s="219">
        <v>0</v>
      </c>
      <c r="E61" s="219">
        <v>0</v>
      </c>
      <c r="F61" s="219">
        <v>0</v>
      </c>
      <c r="G61" s="219">
        <v>16117</v>
      </c>
      <c r="H61" s="219">
        <v>12088</v>
      </c>
      <c r="I61" s="219">
        <v>0</v>
      </c>
      <c r="J61" s="219">
        <v>0</v>
      </c>
      <c r="K61" s="219">
        <v>0</v>
      </c>
      <c r="L61" s="219">
        <v>0</v>
      </c>
      <c r="M61" s="219">
        <v>0</v>
      </c>
      <c r="N61" s="219">
        <v>0</v>
      </c>
      <c r="O61" s="98">
        <f>C61+E61+G61+I61+K61+M61+MSMEoutstanding_5!M61+OutstandingAgri_4!K61</f>
        <v>5743008</v>
      </c>
      <c r="P61" s="98">
        <f>N61+L61+J61+H61+F61+D61+MSMEoutstanding_5!N61+OutstandingAgri_4!L61</f>
        <v>3171924</v>
      </c>
      <c r="Q61" s="99">
        <f>P61*100/'CD Ratio_3(i)'!F61</f>
        <v>100</v>
      </c>
    </row>
    <row r="62" spans="1:18" s="107" customFormat="1">
      <c r="A62" s="370"/>
      <c r="B62" s="59" t="s">
        <v>289</v>
      </c>
      <c r="C62" s="105">
        <f>C61</f>
        <v>0</v>
      </c>
      <c r="D62" s="105">
        <f t="shared" ref="D62:N62" si="3">D61</f>
        <v>0</v>
      </c>
      <c r="E62" s="105">
        <f t="shared" si="3"/>
        <v>0</v>
      </c>
      <c r="F62" s="105">
        <f t="shared" si="3"/>
        <v>0</v>
      </c>
      <c r="G62" s="105">
        <f t="shared" si="3"/>
        <v>16117</v>
      </c>
      <c r="H62" s="105">
        <f t="shared" si="3"/>
        <v>12088</v>
      </c>
      <c r="I62" s="105">
        <f t="shared" si="3"/>
        <v>0</v>
      </c>
      <c r="J62" s="105">
        <f t="shared" si="3"/>
        <v>0</v>
      </c>
      <c r="K62" s="105">
        <f t="shared" si="3"/>
        <v>0</v>
      </c>
      <c r="L62" s="105">
        <f t="shared" si="3"/>
        <v>0</v>
      </c>
      <c r="M62" s="105">
        <f t="shared" si="3"/>
        <v>0</v>
      </c>
      <c r="N62" s="105">
        <f t="shared" si="3"/>
        <v>0</v>
      </c>
      <c r="O62" s="105">
        <f>C62+E62+G62+I62+K62+M62+MSMEoutstanding_5!M62+OutstandingAgri_4!K62</f>
        <v>5743008</v>
      </c>
      <c r="P62" s="105">
        <f>N62+L62+J62+H62+F62+D62+MSMEoutstanding_5!N62+OutstandingAgri_4!L62</f>
        <v>3171924</v>
      </c>
      <c r="Q62" s="96">
        <f>P62*100/'CD Ratio_3(i)'!F62</f>
        <v>100</v>
      </c>
      <c r="R62" s="289"/>
    </row>
    <row r="63" spans="1:18" s="107" customFormat="1">
      <c r="A63" s="370"/>
      <c r="B63" s="59" t="s">
        <v>290</v>
      </c>
      <c r="C63" s="105">
        <f>C62+C60+C56+C33</f>
        <v>42</v>
      </c>
      <c r="D63" s="105">
        <f t="shared" ref="D63:N63" si="4">D62+D60+D56+D33</f>
        <v>14828</v>
      </c>
      <c r="E63" s="105">
        <f t="shared" si="4"/>
        <v>81525</v>
      </c>
      <c r="F63" s="105">
        <f t="shared" si="4"/>
        <v>201850.09000000003</v>
      </c>
      <c r="G63" s="105">
        <f t="shared" si="4"/>
        <v>896262</v>
      </c>
      <c r="H63" s="105">
        <f t="shared" si="4"/>
        <v>1936273.2799999998</v>
      </c>
      <c r="I63" s="105">
        <f t="shared" si="4"/>
        <v>1105</v>
      </c>
      <c r="J63" s="105">
        <f t="shared" si="4"/>
        <v>14078.85</v>
      </c>
      <c r="K63" s="105">
        <f t="shared" si="4"/>
        <v>869</v>
      </c>
      <c r="L63" s="105">
        <f t="shared" si="4"/>
        <v>67513.930000000008</v>
      </c>
      <c r="M63" s="105">
        <f t="shared" si="4"/>
        <v>294437</v>
      </c>
      <c r="N63" s="105">
        <f t="shared" si="4"/>
        <v>282316</v>
      </c>
      <c r="O63" s="105">
        <f>C63+E63+G63+I63+K63+M63+MSMEoutstanding_5!M63+OutstandingAgri_4!K63</f>
        <v>11531913</v>
      </c>
      <c r="P63" s="105">
        <f>N63+L63+J63+H63+F63+D63+MSMEoutstanding_5!N63+OutstandingAgri_4!L63</f>
        <v>15841732.309999997</v>
      </c>
      <c r="Q63" s="96">
        <f>P63*100/'CD Ratio_3(i)'!F63</f>
        <v>65.989724219921214</v>
      </c>
      <c r="R63" s="289"/>
    </row>
    <row r="64" spans="1:18" hidden="1">
      <c r="A64" s="60"/>
    </row>
    <row r="65" spans="3:18" hidden="1">
      <c r="C65" s="110">
        <v>23</v>
      </c>
      <c r="D65" s="110">
        <v>10380</v>
      </c>
      <c r="E65" s="110">
        <v>87969</v>
      </c>
      <c r="F65" s="110">
        <v>204425.03999999998</v>
      </c>
      <c r="G65" s="110">
        <v>830043</v>
      </c>
      <c r="H65" s="110">
        <v>1873188.78</v>
      </c>
      <c r="I65" s="110">
        <v>1125</v>
      </c>
      <c r="J65" s="110">
        <v>13902.529999999999</v>
      </c>
      <c r="K65" s="110">
        <v>911</v>
      </c>
      <c r="L65" s="110">
        <v>66644.460000000006</v>
      </c>
      <c r="M65" s="110">
        <v>294592</v>
      </c>
      <c r="N65" s="110">
        <v>337167.75</v>
      </c>
      <c r="O65" s="110">
        <v>11069511</v>
      </c>
      <c r="P65" s="110">
        <v>13874612.982609699</v>
      </c>
      <c r="Q65" s="108">
        <v>63.054263636619588</v>
      </c>
    </row>
    <row r="66" spans="3:18" hidden="1"/>
    <row r="67" spans="3:18" s="107" customFormat="1" hidden="1">
      <c r="C67" s="111"/>
      <c r="D67" s="111">
        <f t="shared" ref="D67:Q67" si="5">D63-D65</f>
        <v>4448</v>
      </c>
      <c r="E67" s="111"/>
      <c r="F67" s="111">
        <f t="shared" si="5"/>
        <v>-2574.9499999999534</v>
      </c>
      <c r="G67" s="111"/>
      <c r="H67" s="111">
        <f t="shared" si="5"/>
        <v>63084.499999999767</v>
      </c>
      <c r="I67" s="111"/>
      <c r="J67" s="111">
        <f t="shared" si="5"/>
        <v>176.32000000000153</v>
      </c>
      <c r="K67" s="111"/>
      <c r="L67" s="111">
        <f t="shared" si="5"/>
        <v>869.47000000000116</v>
      </c>
      <c r="M67" s="111"/>
      <c r="N67" s="111">
        <f t="shared" si="5"/>
        <v>-54851.75</v>
      </c>
      <c r="O67" s="111"/>
      <c r="P67" s="111">
        <f t="shared" si="5"/>
        <v>1967119.3273902982</v>
      </c>
      <c r="Q67" s="111">
        <f t="shared" si="5"/>
        <v>2.9354605833016265</v>
      </c>
      <c r="R67" s="289"/>
    </row>
    <row r="68" spans="3:18" hidden="1"/>
    <row r="69" spans="3:18" hidden="1"/>
    <row r="70" spans="3:18" hidden="1">
      <c r="F70" s="110">
        <f>NPS_OS_8!N63</f>
        <v>22118.67</v>
      </c>
    </row>
    <row r="71" spans="3:18" hidden="1"/>
    <row r="72" spans="3:18" hidden="1">
      <c r="F72" s="110">
        <f>F63+F70</f>
        <v>223968.76</v>
      </c>
      <c r="I72" s="110">
        <f>NPS_OS_8!M63</f>
        <v>3534</v>
      </c>
    </row>
    <row r="73" spans="3:18" hidden="1">
      <c r="F73" s="110">
        <f>F72/100</f>
        <v>2239.6876000000002</v>
      </c>
      <c r="I73" s="110">
        <f>E63+I72</f>
        <v>85059</v>
      </c>
    </row>
    <row r="74" spans="3:18" hidden="1"/>
    <row r="77" spans="3:18">
      <c r="C77" s="153"/>
      <c r="D77" s="153"/>
      <c r="E77" s="153"/>
      <c r="F77" s="153">
        <f>NPS_OS_8!N63</f>
        <v>22118.67</v>
      </c>
      <c r="H77" s="110">
        <f>H63+NPS_OS_8!P63</f>
        <v>2692497.0999999996</v>
      </c>
    </row>
    <row r="79" spans="3:18">
      <c r="F79" s="108">
        <f>F77*100/'CD Ratio_3(i)'!F63</f>
        <v>9.2136699752846968E-2</v>
      </c>
      <c r="H79" s="108">
        <f>H77*100/'CD Ratio_3(i)'!F63</f>
        <v>11.215764640826556</v>
      </c>
    </row>
    <row r="81" spans="5:6">
      <c r="E81" s="110">
        <f>E63+NPS_OS_8!M63</f>
        <v>85059</v>
      </c>
      <c r="F81" s="110">
        <f>F63+NPS_OS_8!N63</f>
        <v>223968.76</v>
      </c>
    </row>
    <row r="84" spans="5:6">
      <c r="F84" s="110">
        <f>NPS_OS_8!N63</f>
        <v>22118.67</v>
      </c>
    </row>
    <row r="88" spans="5:6">
      <c r="F88" s="110">
        <f>F63+F84</f>
        <v>223968.76</v>
      </c>
    </row>
  </sheetData>
  <mergeCells count="12">
    <mergeCell ref="Q3:Q5"/>
    <mergeCell ref="M4:N4"/>
    <mergeCell ref="O4:P4"/>
    <mergeCell ref="A1:P1"/>
    <mergeCell ref="A3:A5"/>
    <mergeCell ref="B3:B5"/>
    <mergeCell ref="C3:P3"/>
    <mergeCell ref="C4:D4"/>
    <mergeCell ref="E4:F4"/>
    <mergeCell ref="G4:H4"/>
    <mergeCell ref="I4:J4"/>
    <mergeCell ref="K4:L4"/>
  </mergeCells>
  <conditionalFormatting sqref="B6">
    <cfRule type="duplicateValues" dxfId="182" priority="14"/>
  </conditionalFormatting>
  <conditionalFormatting sqref="B22">
    <cfRule type="duplicateValues" dxfId="181" priority="15"/>
  </conditionalFormatting>
  <conditionalFormatting sqref="B33:B34 B26:B30">
    <cfRule type="duplicateValues" dxfId="180" priority="16"/>
  </conditionalFormatting>
  <conditionalFormatting sqref="B52">
    <cfRule type="duplicateValues" dxfId="179" priority="17"/>
  </conditionalFormatting>
  <conditionalFormatting sqref="B56">
    <cfRule type="duplicateValues" dxfId="178" priority="18"/>
  </conditionalFormatting>
  <conditionalFormatting sqref="B58">
    <cfRule type="duplicateValues" dxfId="177" priority="19"/>
  </conditionalFormatting>
  <conditionalFormatting sqref="Q1:Q66 Q68:Q1048576">
    <cfRule type="cellIs" dxfId="176" priority="5" operator="lessThan">
      <formula>40</formula>
    </cfRule>
    <cfRule type="cellIs" dxfId="175" priority="6" operator="greaterThan">
      <formula>100</formula>
    </cfRule>
    <cfRule type="cellIs" dxfId="174" priority="7" operator="greaterThan">
      <formula>100</formula>
    </cfRule>
  </conditionalFormatting>
  <conditionalFormatting sqref="Q1:Q1048576">
    <cfRule type="cellIs" dxfId="173" priority="2" operator="greaterThan">
      <formula>100</formula>
    </cfRule>
    <cfRule type="cellIs" dxfId="172" priority="3" operator="greaterThan">
      <formula>100</formula>
    </cfRule>
    <cfRule type="cellIs" dxfId="171" priority="4" operator="greaterThan">
      <formula>100</formula>
    </cfRule>
  </conditionalFormatting>
  <pageMargins left="0.25" right="0.25" top="0.5" bottom="0.5" header="0.3" footer="0.3"/>
  <pageSetup paperSize="9" scale="64" orientation="portrait" r:id="rId1"/>
  <headerFooter>
    <oddFooter>&amp;CData Table, State Level Banker's Committee, M.P. as on 31.12.2016 Page No. 80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70"/>
  <sheetViews>
    <sheetView zoomScaleNormal="100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A15" sqref="A15:XFD15"/>
    </sheetView>
  </sheetViews>
  <sheetFormatPr defaultColWidth="4.42578125" defaultRowHeight="13.5"/>
  <cols>
    <col min="1" max="1" width="4.42578125" style="61"/>
    <col min="2" max="2" width="22.5703125" style="61" customWidth="1"/>
    <col min="3" max="3" width="11.5703125" style="110" bestFit="1" customWidth="1"/>
    <col min="4" max="5" width="11.28515625" style="110" bestFit="1" customWidth="1"/>
    <col min="6" max="6" width="11.140625" style="110" bestFit="1" customWidth="1"/>
    <col min="7" max="7" width="8.85546875" style="110" customWidth="1"/>
    <col min="8" max="8" width="8" style="110" customWidth="1"/>
    <col min="9" max="9" width="10.5703125" style="110" customWidth="1"/>
    <col min="10" max="10" width="10.42578125" style="110" bestFit="1" customWidth="1"/>
    <col min="11" max="11" width="9.140625" style="110" bestFit="1" customWidth="1"/>
    <col min="12" max="12" width="7.7109375" style="110" customWidth="1"/>
    <col min="13" max="13" width="7.42578125" style="110" customWidth="1"/>
    <col min="14" max="14" width="7.140625" style="110" customWidth="1"/>
    <col min="15" max="15" width="10.5703125" style="110" bestFit="1" customWidth="1"/>
    <col min="16" max="16" width="9.85546875" style="110" bestFit="1" customWidth="1"/>
    <col min="17" max="17" width="11.85546875" style="110" customWidth="1"/>
    <col min="18" max="18" width="11.5703125" style="110" bestFit="1" customWidth="1"/>
    <col min="19" max="19" width="10.140625" style="108" customWidth="1"/>
    <col min="20" max="20" width="4.7109375" style="61" hidden="1" customWidth="1"/>
    <col min="21" max="21" width="11" style="110" hidden="1" customWidth="1"/>
    <col min="22" max="22" width="0" style="61" hidden="1" customWidth="1"/>
    <col min="23" max="23" width="9.85546875" style="61" hidden="1" customWidth="1"/>
    <col min="24" max="24" width="0" style="61" hidden="1" customWidth="1"/>
    <col min="25" max="16384" width="4.42578125" style="61"/>
  </cols>
  <sheetData>
    <row r="1" spans="1:23" ht="18.75">
      <c r="A1" s="600" t="s">
        <v>756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</row>
    <row r="2" spans="1:23">
      <c r="B2" s="107" t="s">
        <v>134</v>
      </c>
      <c r="I2" s="110" t="s">
        <v>142</v>
      </c>
      <c r="L2" s="111" t="s">
        <v>144</v>
      </c>
    </row>
    <row r="3" spans="1:23" ht="13.5" customHeight="1">
      <c r="A3" s="594" t="s">
        <v>120</v>
      </c>
      <c r="B3" s="594" t="s">
        <v>100</v>
      </c>
      <c r="C3" s="599" t="s">
        <v>751</v>
      </c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220">
        <v>0.1</v>
      </c>
    </row>
    <row r="4" spans="1:23" ht="75" customHeight="1">
      <c r="A4" s="594"/>
      <c r="B4" s="594"/>
      <c r="C4" s="595" t="s">
        <v>145</v>
      </c>
      <c r="D4" s="595"/>
      <c r="E4" s="595" t="s">
        <v>146</v>
      </c>
      <c r="F4" s="595"/>
      <c r="G4" s="595" t="s">
        <v>147</v>
      </c>
      <c r="H4" s="595"/>
      <c r="I4" s="595" t="s">
        <v>148</v>
      </c>
      <c r="J4" s="595"/>
      <c r="K4" s="595" t="s">
        <v>149</v>
      </c>
      <c r="L4" s="595"/>
      <c r="M4" s="595" t="s">
        <v>150</v>
      </c>
      <c r="N4" s="595"/>
      <c r="O4" s="595" t="s">
        <v>204</v>
      </c>
      <c r="P4" s="595"/>
      <c r="Q4" s="595" t="s">
        <v>151</v>
      </c>
      <c r="R4" s="595"/>
      <c r="S4" s="112" t="s">
        <v>268</v>
      </c>
    </row>
    <row r="5" spans="1:23">
      <c r="A5" s="594"/>
      <c r="B5" s="594"/>
      <c r="C5" s="295" t="s">
        <v>263</v>
      </c>
      <c r="D5" s="295" t="s">
        <v>262</v>
      </c>
      <c r="E5" s="295" t="s">
        <v>263</v>
      </c>
      <c r="F5" s="295" t="s">
        <v>262</v>
      </c>
      <c r="G5" s="295" t="s">
        <v>263</v>
      </c>
      <c r="H5" s="295" t="s">
        <v>262</v>
      </c>
      <c r="I5" s="295" t="s">
        <v>263</v>
      </c>
      <c r="J5" s="295" t="s">
        <v>262</v>
      </c>
      <c r="K5" s="295" t="s">
        <v>263</v>
      </c>
      <c r="L5" s="295" t="s">
        <v>262</v>
      </c>
      <c r="M5" s="295" t="s">
        <v>263</v>
      </c>
      <c r="N5" s="295" t="s">
        <v>262</v>
      </c>
      <c r="O5" s="295" t="s">
        <v>263</v>
      </c>
      <c r="P5" s="295" t="s">
        <v>262</v>
      </c>
      <c r="Q5" s="295" t="s">
        <v>263</v>
      </c>
      <c r="R5" s="295" t="s">
        <v>262</v>
      </c>
      <c r="S5" s="109" t="s">
        <v>17</v>
      </c>
    </row>
    <row r="6" spans="1:23" ht="15" customHeight="1">
      <c r="A6" s="57">
        <v>1</v>
      </c>
      <c r="B6" s="97" t="s">
        <v>55</v>
      </c>
      <c r="C6" s="98">
        <v>80254</v>
      </c>
      <c r="D6" s="98">
        <v>181754</v>
      </c>
      <c r="E6" s="98">
        <f>SCST_OS_22!C6+SCST_OS_22!E6</f>
        <v>42685</v>
      </c>
      <c r="F6" s="98">
        <f>SCST_OS_22!D6+SCST_OS_22!F6</f>
        <v>99468</v>
      </c>
      <c r="G6" s="98">
        <v>1594</v>
      </c>
      <c r="H6" s="98">
        <v>787</v>
      </c>
      <c r="I6" s="98">
        <f>Minority_OS_20!O6</f>
        <v>19204</v>
      </c>
      <c r="J6" s="98">
        <f>Minority_OS_20!P6</f>
        <v>54767</v>
      </c>
      <c r="K6" s="98">
        <v>1274</v>
      </c>
      <c r="L6" s="98">
        <v>4</v>
      </c>
      <c r="M6" s="98">
        <v>268</v>
      </c>
      <c r="N6" s="98">
        <v>31</v>
      </c>
      <c r="O6" s="98">
        <v>2354</v>
      </c>
      <c r="P6" s="98">
        <v>7256</v>
      </c>
      <c r="Q6" s="98">
        <f t="shared" ref="Q6:Q32" si="0">C6+E6+G6+I6+K6+M6+O6</f>
        <v>147633</v>
      </c>
      <c r="R6" s="98">
        <f t="shared" ref="R6:R32" si="1">D6+F6+H6+J6+L6+N6+P6</f>
        <v>344067</v>
      </c>
      <c r="S6" s="113">
        <f>R6*100/'CD Ratio_3(i)'!F6</f>
        <v>48.696972742082266</v>
      </c>
      <c r="U6" s="110">
        <v>329513</v>
      </c>
      <c r="W6" s="110">
        <f t="shared" ref="W6:W37" si="2">U6-R6</f>
        <v>-14554</v>
      </c>
    </row>
    <row r="7" spans="1:23" ht="15" customHeight="1">
      <c r="A7" s="57">
        <v>2</v>
      </c>
      <c r="B7" s="97" t="s">
        <v>56</v>
      </c>
      <c r="C7" s="98">
        <v>249</v>
      </c>
      <c r="D7" s="98">
        <v>182.12</v>
      </c>
      <c r="E7" s="98">
        <f>SCST_OS_22!C7+SCST_OS_22!E7</f>
        <v>598</v>
      </c>
      <c r="F7" s="98">
        <f>SCST_OS_22!D7+SCST_OS_22!F7</f>
        <v>1299.0500000000002</v>
      </c>
      <c r="G7" s="98">
        <v>0</v>
      </c>
      <c r="H7" s="98">
        <v>0</v>
      </c>
      <c r="I7" s="98">
        <f>Minority_OS_20!O7</f>
        <v>798</v>
      </c>
      <c r="J7" s="98">
        <f>Minority_OS_20!P7</f>
        <v>3706.7299999999996</v>
      </c>
      <c r="K7" s="98">
        <v>315</v>
      </c>
      <c r="L7" s="98">
        <v>4.33</v>
      </c>
      <c r="M7" s="98">
        <v>16</v>
      </c>
      <c r="N7" s="98">
        <v>25.01</v>
      </c>
      <c r="O7" s="98">
        <v>0</v>
      </c>
      <c r="P7" s="98">
        <v>0</v>
      </c>
      <c r="Q7" s="98">
        <f t="shared" si="0"/>
        <v>1976</v>
      </c>
      <c r="R7" s="98">
        <f t="shared" si="1"/>
        <v>5217.24</v>
      </c>
      <c r="S7" s="113">
        <f>R7*100/'CD Ratio_3(i)'!F7</f>
        <v>6.8250899014116175</v>
      </c>
      <c r="U7" s="110">
        <v>4340.38</v>
      </c>
      <c r="W7" s="110">
        <f t="shared" si="2"/>
        <v>-876.85999999999967</v>
      </c>
    </row>
    <row r="8" spans="1:23" ht="15" customHeight="1">
      <c r="A8" s="57">
        <v>3</v>
      </c>
      <c r="B8" s="97" t="s">
        <v>57</v>
      </c>
      <c r="C8" s="98">
        <v>40512</v>
      </c>
      <c r="D8" s="98">
        <v>62567</v>
      </c>
      <c r="E8" s="98">
        <f>SCST_OS_22!C8+SCST_OS_22!E8</f>
        <v>23430</v>
      </c>
      <c r="F8" s="98">
        <f>SCST_OS_22!D8+SCST_OS_22!F8</f>
        <v>22621</v>
      </c>
      <c r="G8" s="98">
        <v>827</v>
      </c>
      <c r="H8" s="98">
        <v>1010</v>
      </c>
      <c r="I8" s="98">
        <f>Minority_OS_20!O8</f>
        <v>7829</v>
      </c>
      <c r="J8" s="98">
        <f>Minority_OS_20!P8</f>
        <v>99608</v>
      </c>
      <c r="K8" s="98">
        <v>6285</v>
      </c>
      <c r="L8" s="98">
        <v>137</v>
      </c>
      <c r="M8" s="98">
        <v>49</v>
      </c>
      <c r="N8" s="98">
        <v>326</v>
      </c>
      <c r="O8" s="98">
        <v>95</v>
      </c>
      <c r="P8" s="98">
        <v>37</v>
      </c>
      <c r="Q8" s="98">
        <f t="shared" si="0"/>
        <v>79027</v>
      </c>
      <c r="R8" s="98">
        <f t="shared" si="1"/>
        <v>186306</v>
      </c>
      <c r="S8" s="113">
        <f>R8*100/'CD Ratio_3(i)'!F8</f>
        <v>22.912964286197443</v>
      </c>
      <c r="U8" s="110">
        <v>183475</v>
      </c>
      <c r="W8" s="110">
        <f t="shared" si="2"/>
        <v>-2831</v>
      </c>
    </row>
    <row r="9" spans="1:23" ht="15" customHeight="1">
      <c r="A9" s="57">
        <v>4</v>
      </c>
      <c r="B9" s="97" t="s">
        <v>58</v>
      </c>
      <c r="C9" s="98">
        <v>274103</v>
      </c>
      <c r="D9" s="98">
        <v>410273</v>
      </c>
      <c r="E9" s="98">
        <f>SCST_OS_22!C9+SCST_OS_22!E9</f>
        <v>136345</v>
      </c>
      <c r="F9" s="98">
        <f>SCST_OS_22!D9+SCST_OS_22!F9</f>
        <v>484381</v>
      </c>
      <c r="G9" s="98">
        <v>2658</v>
      </c>
      <c r="H9" s="98">
        <v>2687</v>
      </c>
      <c r="I9" s="98">
        <f>Minority_OS_20!O9</f>
        <v>19659</v>
      </c>
      <c r="J9" s="98">
        <f>Minority_OS_20!P9</f>
        <v>67781</v>
      </c>
      <c r="K9" s="98">
        <v>7905</v>
      </c>
      <c r="L9" s="98">
        <v>215</v>
      </c>
      <c r="M9" s="98">
        <v>458</v>
      </c>
      <c r="N9" s="98">
        <v>160</v>
      </c>
      <c r="O9" s="98">
        <v>162</v>
      </c>
      <c r="P9" s="98">
        <v>59</v>
      </c>
      <c r="Q9" s="98">
        <f t="shared" si="0"/>
        <v>441290</v>
      </c>
      <c r="R9" s="98">
        <f t="shared" si="1"/>
        <v>965556</v>
      </c>
      <c r="S9" s="113">
        <f>R9*100/'CD Ratio_3(i)'!F9</f>
        <v>53.618497225382875</v>
      </c>
      <c r="U9" s="110">
        <v>966856</v>
      </c>
      <c r="W9" s="110">
        <f t="shared" si="2"/>
        <v>1300</v>
      </c>
    </row>
    <row r="10" spans="1:23" ht="15" customHeight="1">
      <c r="A10" s="57">
        <v>5</v>
      </c>
      <c r="B10" s="97" t="s">
        <v>59</v>
      </c>
      <c r="C10" s="98">
        <v>30288</v>
      </c>
      <c r="D10" s="98">
        <v>41815.370000000003</v>
      </c>
      <c r="E10" s="98">
        <f>SCST_OS_22!C10+SCST_OS_22!E10</f>
        <v>22434</v>
      </c>
      <c r="F10" s="98">
        <f>SCST_OS_22!D10+SCST_OS_22!F10</f>
        <v>45179.939999999995</v>
      </c>
      <c r="G10" s="98">
        <v>1050</v>
      </c>
      <c r="H10" s="98">
        <v>264.58</v>
      </c>
      <c r="I10" s="98">
        <f>Minority_OS_20!O10</f>
        <v>7399</v>
      </c>
      <c r="J10" s="98">
        <f>Minority_OS_20!P10</f>
        <v>21284.690000000002</v>
      </c>
      <c r="K10" s="98">
        <v>68</v>
      </c>
      <c r="L10" s="98">
        <v>0.47</v>
      </c>
      <c r="M10" s="98">
        <v>18</v>
      </c>
      <c r="N10" s="98">
        <v>8.77</v>
      </c>
      <c r="O10" s="98">
        <v>855</v>
      </c>
      <c r="P10" s="98">
        <v>1317.58</v>
      </c>
      <c r="Q10" s="98">
        <f t="shared" si="0"/>
        <v>62112</v>
      </c>
      <c r="R10" s="98">
        <f t="shared" si="1"/>
        <v>109871.40000000001</v>
      </c>
      <c r="S10" s="113">
        <f>R10*100/'CD Ratio_3(i)'!F10</f>
        <v>34.753043659793327</v>
      </c>
      <c r="U10" s="110">
        <v>111626</v>
      </c>
      <c r="W10" s="110">
        <f t="shared" si="2"/>
        <v>1754.5999999999913</v>
      </c>
    </row>
    <row r="11" spans="1:23" ht="15" customHeight="1">
      <c r="A11" s="57">
        <v>6</v>
      </c>
      <c r="B11" s="100" t="s">
        <v>241</v>
      </c>
      <c r="C11" s="98">
        <v>0</v>
      </c>
      <c r="D11" s="98">
        <v>0</v>
      </c>
      <c r="E11" s="98">
        <f>SCST_OS_22!C11+SCST_OS_22!E11</f>
        <v>0</v>
      </c>
      <c r="F11" s="98">
        <f>SCST_OS_22!D11+SCST_OS_22!F11</f>
        <v>0</v>
      </c>
      <c r="G11" s="98">
        <v>21</v>
      </c>
      <c r="H11" s="98">
        <v>26.8</v>
      </c>
      <c r="I11" s="98">
        <f>Minority_OS_20!O11</f>
        <v>0</v>
      </c>
      <c r="J11" s="98">
        <f>Minority_OS_20!P11</f>
        <v>0</v>
      </c>
      <c r="K11" s="98">
        <v>0</v>
      </c>
      <c r="L11" s="98">
        <v>0</v>
      </c>
      <c r="M11" s="98">
        <v>0</v>
      </c>
      <c r="N11" s="98">
        <v>0</v>
      </c>
      <c r="O11" s="98">
        <v>0</v>
      </c>
      <c r="P11" s="98">
        <v>0</v>
      </c>
      <c r="Q11" s="98">
        <f t="shared" si="0"/>
        <v>21</v>
      </c>
      <c r="R11" s="98">
        <f t="shared" si="1"/>
        <v>26.8</v>
      </c>
      <c r="S11" s="113">
        <f>R11*100/'CD Ratio_3(i)'!F11</f>
        <v>3.9010189228529839</v>
      </c>
      <c r="U11" s="110">
        <v>145.09</v>
      </c>
      <c r="W11" s="110">
        <f t="shared" si="2"/>
        <v>118.29</v>
      </c>
    </row>
    <row r="12" spans="1:23" ht="15" customHeight="1">
      <c r="A12" s="57">
        <v>7</v>
      </c>
      <c r="B12" s="97" t="s">
        <v>60</v>
      </c>
      <c r="C12" s="98">
        <v>29181</v>
      </c>
      <c r="D12" s="98">
        <v>58625.15</v>
      </c>
      <c r="E12" s="98">
        <f>SCST_OS_22!C12+SCST_OS_22!E12</f>
        <v>7095</v>
      </c>
      <c r="F12" s="98">
        <f>SCST_OS_22!D12+SCST_OS_22!F12</f>
        <v>14125</v>
      </c>
      <c r="G12" s="98">
        <v>7095</v>
      </c>
      <c r="H12" s="98">
        <v>46004.15</v>
      </c>
      <c r="I12" s="98">
        <f>Minority_OS_20!O12</f>
        <v>8904</v>
      </c>
      <c r="J12" s="98">
        <f>Minority_OS_20!P12</f>
        <v>26884</v>
      </c>
      <c r="K12" s="98">
        <v>8254</v>
      </c>
      <c r="L12" s="98">
        <v>156</v>
      </c>
      <c r="M12" s="98">
        <v>685</v>
      </c>
      <c r="N12" s="98">
        <v>97.51</v>
      </c>
      <c r="O12" s="98">
        <v>3532</v>
      </c>
      <c r="P12" s="98">
        <v>6730.59</v>
      </c>
      <c r="Q12" s="98">
        <f t="shared" si="0"/>
        <v>64746</v>
      </c>
      <c r="R12" s="98">
        <f t="shared" si="1"/>
        <v>152622.39999999999</v>
      </c>
      <c r="S12" s="113">
        <f>R12*100/'CD Ratio_3(i)'!F12</f>
        <v>34.939753795592146</v>
      </c>
      <c r="U12" s="110">
        <v>146617</v>
      </c>
      <c r="W12" s="110">
        <f t="shared" si="2"/>
        <v>-6005.3999999999942</v>
      </c>
    </row>
    <row r="13" spans="1:23" s="107" customFormat="1" ht="15" customHeight="1">
      <c r="A13" s="57">
        <v>8</v>
      </c>
      <c r="B13" s="97" t="s">
        <v>61</v>
      </c>
      <c r="C13" s="98">
        <v>260694</v>
      </c>
      <c r="D13" s="98">
        <v>368827</v>
      </c>
      <c r="E13" s="98">
        <f>SCST_OS_22!C13+SCST_OS_22!E13</f>
        <v>126957.17</v>
      </c>
      <c r="F13" s="98">
        <f>SCST_OS_22!D13+SCST_OS_22!F13</f>
        <v>100543</v>
      </c>
      <c r="G13" s="98">
        <v>7315</v>
      </c>
      <c r="H13" s="98">
        <v>3825</v>
      </c>
      <c r="I13" s="98">
        <f>Minority_OS_20!O13</f>
        <v>22058</v>
      </c>
      <c r="J13" s="98">
        <f>Minority_OS_20!P13</f>
        <v>40791</v>
      </c>
      <c r="K13" s="98">
        <v>5145</v>
      </c>
      <c r="L13" s="98">
        <v>108</v>
      </c>
      <c r="M13" s="98">
        <v>886</v>
      </c>
      <c r="N13" s="98">
        <v>75</v>
      </c>
      <c r="O13" s="98">
        <v>0</v>
      </c>
      <c r="P13" s="98">
        <v>0</v>
      </c>
      <c r="Q13" s="98">
        <f t="shared" si="0"/>
        <v>423055.17</v>
      </c>
      <c r="R13" s="98">
        <f t="shared" si="1"/>
        <v>514169</v>
      </c>
      <c r="S13" s="113">
        <f>R13*100/'CD Ratio_3(i)'!F13</f>
        <v>42.492989721564058</v>
      </c>
      <c r="U13" s="111">
        <v>408002</v>
      </c>
      <c r="W13" s="110">
        <f t="shared" si="2"/>
        <v>-106167</v>
      </c>
    </row>
    <row r="14" spans="1:23" ht="15" customHeight="1">
      <c r="A14" s="57">
        <v>9</v>
      </c>
      <c r="B14" s="97" t="s">
        <v>48</v>
      </c>
      <c r="C14" s="98">
        <v>9313</v>
      </c>
      <c r="D14" s="98">
        <v>19887</v>
      </c>
      <c r="E14" s="98">
        <f>SCST_OS_22!C14+SCST_OS_22!E14</f>
        <v>2302</v>
      </c>
      <c r="F14" s="98">
        <f>SCST_OS_22!D14+SCST_OS_22!F14</f>
        <v>4930.93</v>
      </c>
      <c r="G14" s="98">
        <v>18</v>
      </c>
      <c r="H14" s="98">
        <v>11.22</v>
      </c>
      <c r="I14" s="98">
        <f>Minority_OS_20!O14</f>
        <v>2130</v>
      </c>
      <c r="J14" s="98">
        <f>Minority_OS_20!P14</f>
        <v>10919.64</v>
      </c>
      <c r="K14" s="98">
        <v>0</v>
      </c>
      <c r="L14" s="98">
        <v>0</v>
      </c>
      <c r="M14" s="98">
        <v>1</v>
      </c>
      <c r="N14" s="98">
        <v>0</v>
      </c>
      <c r="O14" s="98">
        <v>4685</v>
      </c>
      <c r="P14" s="98">
        <v>13566</v>
      </c>
      <c r="Q14" s="98">
        <f t="shared" si="0"/>
        <v>18449</v>
      </c>
      <c r="R14" s="98">
        <f t="shared" si="1"/>
        <v>49314.79</v>
      </c>
      <c r="S14" s="113">
        <f>R14*100/'CD Ratio_3(i)'!F14</f>
        <v>15.100555460291019</v>
      </c>
      <c r="U14" s="110">
        <v>14656.71</v>
      </c>
      <c r="W14" s="110">
        <f t="shared" si="2"/>
        <v>-34658.080000000002</v>
      </c>
    </row>
    <row r="15" spans="1:23" ht="15" customHeight="1">
      <c r="A15" s="57">
        <v>10</v>
      </c>
      <c r="B15" s="97" t="s">
        <v>49</v>
      </c>
      <c r="C15" s="98">
        <v>6492</v>
      </c>
      <c r="D15" s="98">
        <v>10624</v>
      </c>
      <c r="E15" s="98">
        <f>SCST_OS_22!C15+SCST_OS_22!E15</f>
        <v>4439</v>
      </c>
      <c r="F15" s="98">
        <f>SCST_OS_22!D15+SCST_OS_22!F15</f>
        <v>4541</v>
      </c>
      <c r="G15" s="98">
        <v>81</v>
      </c>
      <c r="H15" s="98">
        <v>73</v>
      </c>
      <c r="I15" s="98">
        <f>Minority_OS_20!O15</f>
        <v>2662</v>
      </c>
      <c r="J15" s="98">
        <f>Minority_OS_20!P15</f>
        <v>6898</v>
      </c>
      <c r="K15" s="98">
        <v>1603</v>
      </c>
      <c r="L15" s="98">
        <v>10</v>
      </c>
      <c r="M15" s="98">
        <v>1</v>
      </c>
      <c r="N15" s="98">
        <v>1</v>
      </c>
      <c r="O15" s="98">
        <v>0</v>
      </c>
      <c r="P15" s="98">
        <v>0</v>
      </c>
      <c r="Q15" s="98">
        <f t="shared" si="0"/>
        <v>15278</v>
      </c>
      <c r="R15" s="98">
        <f t="shared" si="1"/>
        <v>22147</v>
      </c>
      <c r="S15" s="113">
        <f>R15*100/'CD Ratio_3(i)'!F15</f>
        <v>14.139331179692787</v>
      </c>
      <c r="U15" s="110">
        <v>21599</v>
      </c>
      <c r="W15" s="110">
        <f t="shared" si="2"/>
        <v>-548</v>
      </c>
    </row>
    <row r="16" spans="1:23" ht="15" customHeight="1">
      <c r="A16" s="57">
        <v>11</v>
      </c>
      <c r="B16" s="97" t="s">
        <v>81</v>
      </c>
      <c r="C16" s="98">
        <v>20165</v>
      </c>
      <c r="D16" s="98">
        <v>28082</v>
      </c>
      <c r="E16" s="98">
        <f>SCST_OS_22!C16+SCST_OS_22!E16</f>
        <v>10395</v>
      </c>
      <c r="F16" s="98">
        <f>SCST_OS_22!D16+SCST_OS_22!F16</f>
        <v>7842</v>
      </c>
      <c r="G16" s="98">
        <v>21</v>
      </c>
      <c r="H16" s="98">
        <v>37</v>
      </c>
      <c r="I16" s="98">
        <f>Minority_OS_20!O16</f>
        <v>3653</v>
      </c>
      <c r="J16" s="98">
        <f>Minority_OS_20!P16</f>
        <v>12535</v>
      </c>
      <c r="K16" s="98">
        <v>18</v>
      </c>
      <c r="L16" s="98">
        <v>0.48</v>
      </c>
      <c r="M16" s="98">
        <v>0</v>
      </c>
      <c r="N16" s="98">
        <v>0</v>
      </c>
      <c r="O16" s="98">
        <v>16685</v>
      </c>
      <c r="P16" s="98">
        <v>3403.52</v>
      </c>
      <c r="Q16" s="98">
        <f t="shared" si="0"/>
        <v>50937</v>
      </c>
      <c r="R16" s="98">
        <f t="shared" si="1"/>
        <v>51900</v>
      </c>
      <c r="S16" s="113">
        <f>R16*100/'CD Ratio_3(i)'!F16</f>
        <v>13.615400355731847</v>
      </c>
      <c r="U16" s="110">
        <v>64978.55</v>
      </c>
      <c r="W16" s="110">
        <f t="shared" si="2"/>
        <v>13078.550000000003</v>
      </c>
    </row>
    <row r="17" spans="1:23" ht="15" customHeight="1">
      <c r="A17" s="57">
        <v>12</v>
      </c>
      <c r="B17" s="97" t="s">
        <v>62</v>
      </c>
      <c r="C17" s="98">
        <v>782</v>
      </c>
      <c r="D17" s="98">
        <v>1032</v>
      </c>
      <c r="E17" s="98">
        <f>SCST_OS_22!C17+SCST_OS_22!E17</f>
        <v>1191</v>
      </c>
      <c r="F17" s="98">
        <f>SCST_OS_22!D17+SCST_OS_22!F17</f>
        <v>1708</v>
      </c>
      <c r="G17" s="98">
        <v>549</v>
      </c>
      <c r="H17" s="98">
        <v>789</v>
      </c>
      <c r="I17" s="98">
        <f>Minority_OS_20!O17</f>
        <v>192</v>
      </c>
      <c r="J17" s="98">
        <f>Minority_OS_20!P17</f>
        <v>225</v>
      </c>
      <c r="K17" s="98">
        <v>197</v>
      </c>
      <c r="L17" s="98">
        <v>5</v>
      </c>
      <c r="M17" s="98">
        <v>548</v>
      </c>
      <c r="N17" s="98">
        <v>129</v>
      </c>
      <c r="O17" s="98">
        <v>1967</v>
      </c>
      <c r="P17" s="98">
        <v>2398</v>
      </c>
      <c r="Q17" s="98">
        <f t="shared" si="0"/>
        <v>5426</v>
      </c>
      <c r="R17" s="98">
        <f t="shared" si="1"/>
        <v>6286</v>
      </c>
      <c r="S17" s="113">
        <f>R17*100/'CD Ratio_3(i)'!F17</f>
        <v>16.319358897905872</v>
      </c>
      <c r="U17" s="110">
        <v>8263.84</v>
      </c>
      <c r="W17" s="110">
        <f t="shared" si="2"/>
        <v>1977.8400000000001</v>
      </c>
    </row>
    <row r="18" spans="1:23" ht="15" customHeight="1">
      <c r="A18" s="57">
        <v>13</v>
      </c>
      <c r="B18" s="97" t="s">
        <v>63</v>
      </c>
      <c r="C18" s="98">
        <v>1296</v>
      </c>
      <c r="D18" s="98">
        <v>2683</v>
      </c>
      <c r="E18" s="98">
        <f>SCST_OS_22!C18+SCST_OS_22!E18</f>
        <v>2124</v>
      </c>
      <c r="F18" s="98">
        <f>SCST_OS_22!D18+SCST_OS_22!F18</f>
        <v>2940.68</v>
      </c>
      <c r="G18" s="98">
        <v>4</v>
      </c>
      <c r="H18" s="98">
        <v>10</v>
      </c>
      <c r="I18" s="98">
        <f>Minority_OS_20!O18</f>
        <v>530</v>
      </c>
      <c r="J18" s="98">
        <f>Minority_OS_20!P18</f>
        <v>1030.1200000000001</v>
      </c>
      <c r="K18" s="98">
        <v>58</v>
      </c>
      <c r="L18" s="98">
        <v>0.63</v>
      </c>
      <c r="M18" s="98">
        <v>94</v>
      </c>
      <c r="N18" s="98">
        <v>6.56</v>
      </c>
      <c r="O18" s="98">
        <v>0</v>
      </c>
      <c r="P18" s="98">
        <v>0</v>
      </c>
      <c r="Q18" s="98">
        <f t="shared" si="0"/>
        <v>4106</v>
      </c>
      <c r="R18" s="98">
        <f t="shared" si="1"/>
        <v>6670.9900000000007</v>
      </c>
      <c r="S18" s="113">
        <f>R18*100/'CD Ratio_3(i)'!F18</f>
        <v>6.4725418663768854</v>
      </c>
      <c r="U18" s="110">
        <v>6619.2400000000007</v>
      </c>
      <c r="W18" s="110">
        <f t="shared" si="2"/>
        <v>-51.75</v>
      </c>
    </row>
    <row r="19" spans="1:23" ht="15" customHeight="1">
      <c r="A19" s="57">
        <v>14</v>
      </c>
      <c r="B19" s="101" t="s">
        <v>206</v>
      </c>
      <c r="C19" s="98">
        <v>9573</v>
      </c>
      <c r="D19" s="98">
        <v>10831.81</v>
      </c>
      <c r="E19" s="98">
        <f>SCST_OS_22!C19+SCST_OS_22!E19</f>
        <v>5138</v>
      </c>
      <c r="F19" s="98">
        <f>SCST_OS_22!D19+SCST_OS_22!F19</f>
        <v>11983.2</v>
      </c>
      <c r="G19" s="98">
        <v>66</v>
      </c>
      <c r="H19" s="98">
        <v>68.19</v>
      </c>
      <c r="I19" s="98">
        <f>Minority_OS_20!O19</f>
        <v>2155</v>
      </c>
      <c r="J19" s="98">
        <f>Minority_OS_20!P19</f>
        <v>6460.5600000000013</v>
      </c>
      <c r="K19" s="98">
        <v>353</v>
      </c>
      <c r="L19" s="98">
        <v>1.04</v>
      </c>
      <c r="M19" s="98">
        <v>12</v>
      </c>
      <c r="N19" s="98">
        <v>0.56999999999999995</v>
      </c>
      <c r="O19" s="98">
        <v>3923</v>
      </c>
      <c r="P19" s="98">
        <v>5990.03</v>
      </c>
      <c r="Q19" s="98">
        <f t="shared" si="0"/>
        <v>21220</v>
      </c>
      <c r="R19" s="98">
        <f t="shared" si="1"/>
        <v>35335.4</v>
      </c>
      <c r="S19" s="113">
        <f>R19*100/'CD Ratio_3(i)'!F19</f>
        <v>14.675038480268807</v>
      </c>
      <c r="U19" s="110">
        <v>34280.61</v>
      </c>
      <c r="W19" s="110">
        <f t="shared" si="2"/>
        <v>-1054.7900000000009</v>
      </c>
    </row>
    <row r="20" spans="1:23" ht="15" customHeight="1">
      <c r="A20" s="57">
        <v>15</v>
      </c>
      <c r="B20" s="97" t="s">
        <v>207</v>
      </c>
      <c r="C20" s="98">
        <v>4407</v>
      </c>
      <c r="D20" s="98">
        <v>8810.3700000000008</v>
      </c>
      <c r="E20" s="98">
        <f>SCST_OS_22!C20+SCST_OS_22!E20</f>
        <v>458</v>
      </c>
      <c r="F20" s="98">
        <f>SCST_OS_22!D20+SCST_OS_22!F20</f>
        <v>614.39</v>
      </c>
      <c r="G20" s="98">
        <v>22</v>
      </c>
      <c r="H20" s="98">
        <v>21.49</v>
      </c>
      <c r="I20" s="98">
        <f>Minority_OS_20!O20</f>
        <v>3122</v>
      </c>
      <c r="J20" s="98">
        <f>Minority_OS_20!P20</f>
        <v>9423</v>
      </c>
      <c r="K20" s="98">
        <v>3192</v>
      </c>
      <c r="L20" s="98">
        <v>5.32</v>
      </c>
      <c r="M20" s="98">
        <v>38</v>
      </c>
      <c r="N20" s="98">
        <v>34.54</v>
      </c>
      <c r="O20" s="98">
        <v>0</v>
      </c>
      <c r="P20" s="98">
        <v>0</v>
      </c>
      <c r="Q20" s="98">
        <f t="shared" si="0"/>
        <v>11239</v>
      </c>
      <c r="R20" s="98">
        <f t="shared" si="1"/>
        <v>18909.11</v>
      </c>
      <c r="S20" s="113">
        <f>R20*100/'CD Ratio_3(i)'!F20</f>
        <v>28.016816807917976</v>
      </c>
      <c r="U20" s="110">
        <v>16744.829999999998</v>
      </c>
      <c r="W20" s="110">
        <f t="shared" si="2"/>
        <v>-2164.2800000000025</v>
      </c>
    </row>
    <row r="21" spans="1:23" ht="15" customHeight="1">
      <c r="A21" s="57">
        <v>16</v>
      </c>
      <c r="B21" s="97" t="s">
        <v>64</v>
      </c>
      <c r="C21" s="98">
        <v>114295</v>
      </c>
      <c r="D21" s="98">
        <v>129662</v>
      </c>
      <c r="E21" s="98">
        <f>SCST_OS_22!C21+SCST_OS_22!E21</f>
        <v>28950</v>
      </c>
      <c r="F21" s="98">
        <f>SCST_OS_22!D21+SCST_OS_22!F21</f>
        <v>33878</v>
      </c>
      <c r="G21" s="98">
        <v>3606</v>
      </c>
      <c r="H21" s="98">
        <v>3400</v>
      </c>
      <c r="I21" s="98">
        <f>Minority_OS_20!O21</f>
        <v>9571</v>
      </c>
      <c r="J21" s="98">
        <f>Minority_OS_20!P21</f>
        <v>36963</v>
      </c>
      <c r="K21" s="98">
        <v>1173</v>
      </c>
      <c r="L21" s="98">
        <v>14</v>
      </c>
      <c r="M21" s="98">
        <v>413</v>
      </c>
      <c r="N21" s="98">
        <v>35</v>
      </c>
      <c r="O21" s="98">
        <v>5647</v>
      </c>
      <c r="P21" s="98">
        <v>19244</v>
      </c>
      <c r="Q21" s="98">
        <f t="shared" si="0"/>
        <v>163655</v>
      </c>
      <c r="R21" s="98">
        <f t="shared" si="1"/>
        <v>223196</v>
      </c>
      <c r="S21" s="113">
        <f>R21*100/'CD Ratio_3(i)'!F21</f>
        <v>15.461444410192822</v>
      </c>
      <c r="U21" s="110">
        <v>209260</v>
      </c>
      <c r="W21" s="110">
        <f t="shared" si="2"/>
        <v>-13936</v>
      </c>
    </row>
    <row r="22" spans="1:23" ht="15" customHeight="1">
      <c r="A22" s="57">
        <v>17</v>
      </c>
      <c r="B22" s="102" t="s">
        <v>69</v>
      </c>
      <c r="C22" s="98">
        <v>0</v>
      </c>
      <c r="D22" s="98">
        <v>0</v>
      </c>
      <c r="E22" s="98">
        <f>SCST_OS_22!C22+SCST_OS_22!E22</f>
        <v>0</v>
      </c>
      <c r="F22" s="98">
        <f>SCST_OS_22!D22+SCST_OS_22!F22</f>
        <v>0</v>
      </c>
      <c r="G22" s="98">
        <v>0</v>
      </c>
      <c r="H22" s="98">
        <v>0</v>
      </c>
      <c r="I22" s="98">
        <f>Minority_OS_20!O22</f>
        <v>0</v>
      </c>
      <c r="J22" s="98">
        <f>Minority_OS_20!P22</f>
        <v>0</v>
      </c>
      <c r="K22" s="98">
        <v>0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8">
        <f t="shared" si="0"/>
        <v>0</v>
      </c>
      <c r="R22" s="98">
        <f t="shared" si="1"/>
        <v>0</v>
      </c>
      <c r="S22" s="113">
        <f>R22*100/'CD Ratio_3(i)'!F22</f>
        <v>0</v>
      </c>
      <c r="U22" s="110">
        <v>0</v>
      </c>
      <c r="W22" s="110">
        <f t="shared" si="2"/>
        <v>0</v>
      </c>
    </row>
    <row r="23" spans="1:23" ht="15" customHeight="1">
      <c r="A23" s="57">
        <v>18</v>
      </c>
      <c r="B23" s="97" t="s">
        <v>208</v>
      </c>
      <c r="C23" s="98">
        <v>0</v>
      </c>
      <c r="D23" s="98">
        <v>0</v>
      </c>
      <c r="E23" s="98">
        <f>SCST_OS_22!C23+SCST_OS_22!E23</f>
        <v>0</v>
      </c>
      <c r="F23" s="98">
        <f>SCST_OS_22!D23+SCST_OS_22!F23</f>
        <v>0</v>
      </c>
      <c r="G23" s="98">
        <v>0</v>
      </c>
      <c r="H23" s="98">
        <v>0</v>
      </c>
      <c r="I23" s="98">
        <f>Minority_OS_20!O23</f>
        <v>0</v>
      </c>
      <c r="J23" s="98">
        <f>Minority_OS_20!P23</f>
        <v>0</v>
      </c>
      <c r="K23" s="98">
        <v>0</v>
      </c>
      <c r="L23" s="98">
        <v>0</v>
      </c>
      <c r="M23" s="98">
        <v>0</v>
      </c>
      <c r="N23" s="98">
        <v>0</v>
      </c>
      <c r="O23" s="98">
        <v>0</v>
      </c>
      <c r="P23" s="98">
        <v>0</v>
      </c>
      <c r="Q23" s="98">
        <f t="shared" si="0"/>
        <v>0</v>
      </c>
      <c r="R23" s="98">
        <f t="shared" si="1"/>
        <v>0</v>
      </c>
      <c r="S23" s="113">
        <f>R23*100/'CD Ratio_3(i)'!F23</f>
        <v>0</v>
      </c>
      <c r="U23" s="110">
        <v>0</v>
      </c>
      <c r="W23" s="110">
        <f t="shared" si="2"/>
        <v>0</v>
      </c>
    </row>
    <row r="24" spans="1:23" ht="15" customHeight="1">
      <c r="A24" s="57">
        <v>19</v>
      </c>
      <c r="B24" s="103" t="s">
        <v>209</v>
      </c>
      <c r="C24" s="98">
        <v>0</v>
      </c>
      <c r="D24" s="98">
        <v>0</v>
      </c>
      <c r="E24" s="98">
        <f>SCST_OS_22!C24+SCST_OS_22!E24</f>
        <v>71</v>
      </c>
      <c r="F24" s="98">
        <f>SCST_OS_22!D24+SCST_OS_22!F24</f>
        <v>351.62</v>
      </c>
      <c r="G24" s="98">
        <v>0</v>
      </c>
      <c r="H24" s="98">
        <v>0</v>
      </c>
      <c r="I24" s="98">
        <f>Minority_OS_20!O24</f>
        <v>214</v>
      </c>
      <c r="J24" s="98">
        <f>Minority_OS_20!P24</f>
        <v>944.36999999999989</v>
      </c>
      <c r="K24" s="98">
        <v>17</v>
      </c>
      <c r="L24" s="98">
        <v>0.33</v>
      </c>
      <c r="M24" s="98">
        <v>2</v>
      </c>
      <c r="N24" s="98">
        <v>0.1</v>
      </c>
      <c r="O24" s="98">
        <v>64</v>
      </c>
      <c r="P24" s="98">
        <v>139</v>
      </c>
      <c r="Q24" s="98">
        <f t="shared" si="0"/>
        <v>368</v>
      </c>
      <c r="R24" s="98">
        <f t="shared" si="1"/>
        <v>1435.4199999999996</v>
      </c>
      <c r="S24" s="113">
        <f>R24*100/'CD Ratio_3(i)'!F24</f>
        <v>2.0674646041279576</v>
      </c>
      <c r="U24" s="110">
        <v>1335.4199999999998</v>
      </c>
      <c r="W24" s="110">
        <f t="shared" si="2"/>
        <v>-99.999999999999773</v>
      </c>
    </row>
    <row r="25" spans="1:23" ht="15" customHeight="1">
      <c r="A25" s="57">
        <v>20</v>
      </c>
      <c r="B25" s="97" t="s">
        <v>210</v>
      </c>
      <c r="C25" s="98">
        <v>0</v>
      </c>
      <c r="D25" s="98">
        <v>0</v>
      </c>
      <c r="E25" s="98">
        <f>SCST_OS_22!C25+SCST_OS_22!E25</f>
        <v>0</v>
      </c>
      <c r="F25" s="98">
        <f>SCST_OS_22!D25+SCST_OS_22!F25</f>
        <v>0</v>
      </c>
      <c r="G25" s="98">
        <v>0</v>
      </c>
      <c r="H25" s="98">
        <v>0</v>
      </c>
      <c r="I25" s="98">
        <f>Minority_OS_20!O25</f>
        <v>0</v>
      </c>
      <c r="J25" s="98">
        <f>Minority_OS_20!P25</f>
        <v>0</v>
      </c>
      <c r="K25" s="98">
        <v>0</v>
      </c>
      <c r="L25" s="98">
        <v>0</v>
      </c>
      <c r="M25" s="98">
        <v>0</v>
      </c>
      <c r="N25" s="98">
        <v>0</v>
      </c>
      <c r="O25" s="98">
        <v>0</v>
      </c>
      <c r="P25" s="98">
        <v>0</v>
      </c>
      <c r="Q25" s="98">
        <f t="shared" si="0"/>
        <v>0</v>
      </c>
      <c r="R25" s="98">
        <f t="shared" si="1"/>
        <v>0</v>
      </c>
      <c r="S25" s="113">
        <f>R25*100/'CD Ratio_3(i)'!F25</f>
        <v>0</v>
      </c>
      <c r="U25" s="110">
        <v>2563</v>
      </c>
      <c r="W25" s="110">
        <f t="shared" si="2"/>
        <v>2563</v>
      </c>
    </row>
    <row r="26" spans="1:23" ht="15" customHeight="1">
      <c r="A26" s="57">
        <v>21</v>
      </c>
      <c r="B26" s="97" t="s">
        <v>211</v>
      </c>
      <c r="C26" s="98">
        <v>230</v>
      </c>
      <c r="D26" s="98">
        <v>555</v>
      </c>
      <c r="E26" s="98">
        <f>SCST_OS_22!C26+SCST_OS_22!E26</f>
        <v>0</v>
      </c>
      <c r="F26" s="98">
        <f>SCST_OS_22!D26+SCST_OS_22!F26</f>
        <v>0</v>
      </c>
      <c r="G26" s="98">
        <v>3</v>
      </c>
      <c r="H26" s="98">
        <v>11</v>
      </c>
      <c r="I26" s="98">
        <f>Minority_OS_20!O26</f>
        <v>0</v>
      </c>
      <c r="J26" s="98">
        <f>Minority_OS_20!P26</f>
        <v>0</v>
      </c>
      <c r="K26" s="98">
        <v>0</v>
      </c>
      <c r="L26" s="98">
        <v>0</v>
      </c>
      <c r="M26" s="98">
        <v>122</v>
      </c>
      <c r="N26" s="98">
        <v>10</v>
      </c>
      <c r="O26" s="98">
        <v>994</v>
      </c>
      <c r="P26" s="98">
        <v>909</v>
      </c>
      <c r="Q26" s="98">
        <f t="shared" si="0"/>
        <v>1349</v>
      </c>
      <c r="R26" s="98">
        <f t="shared" si="1"/>
        <v>1485</v>
      </c>
      <c r="S26" s="113">
        <f>R26*100/'CD Ratio_3(i)'!F26</f>
        <v>4.9252097774534844</v>
      </c>
      <c r="U26" s="110">
        <v>10368</v>
      </c>
      <c r="W26" s="110">
        <f t="shared" si="2"/>
        <v>8883</v>
      </c>
    </row>
    <row r="27" spans="1:23" ht="15" customHeight="1">
      <c r="A27" s="57">
        <v>22</v>
      </c>
      <c r="B27" s="97" t="s">
        <v>70</v>
      </c>
      <c r="C27" s="98">
        <v>350328</v>
      </c>
      <c r="D27" s="98">
        <v>375551</v>
      </c>
      <c r="E27" s="98">
        <f>SCST_OS_22!C27+SCST_OS_22!E27</f>
        <v>94045</v>
      </c>
      <c r="F27" s="98">
        <f>SCST_OS_22!D27+SCST_OS_22!F27</f>
        <v>191523</v>
      </c>
      <c r="G27" s="98">
        <v>2480</v>
      </c>
      <c r="H27" s="98">
        <v>2197</v>
      </c>
      <c r="I27" s="98">
        <f>Minority_OS_20!O27</f>
        <v>112541</v>
      </c>
      <c r="J27" s="98">
        <f>Minority_OS_20!P27</f>
        <v>185343</v>
      </c>
      <c r="K27" s="98">
        <v>2497</v>
      </c>
      <c r="L27" s="98">
        <v>51</v>
      </c>
      <c r="M27" s="98">
        <v>351</v>
      </c>
      <c r="N27" s="98">
        <v>222</v>
      </c>
      <c r="O27" s="98">
        <v>1101</v>
      </c>
      <c r="P27" s="98">
        <v>34909</v>
      </c>
      <c r="Q27" s="98">
        <f t="shared" si="0"/>
        <v>563343</v>
      </c>
      <c r="R27" s="98">
        <f t="shared" si="1"/>
        <v>789796</v>
      </c>
      <c r="S27" s="113">
        <f>R27*100/'CD Ratio_3(i)'!F27</f>
        <v>13.757594760312152</v>
      </c>
      <c r="U27" s="110">
        <v>749694</v>
      </c>
      <c r="W27" s="110">
        <f t="shared" si="2"/>
        <v>-40102</v>
      </c>
    </row>
    <row r="28" spans="1:23" ht="15" customHeight="1">
      <c r="A28" s="57">
        <v>23</v>
      </c>
      <c r="B28" s="97" t="s">
        <v>65</v>
      </c>
      <c r="C28" s="98">
        <v>6543</v>
      </c>
      <c r="D28" s="98">
        <v>8092</v>
      </c>
      <c r="E28" s="98">
        <f>SCST_OS_22!C28+SCST_OS_22!E28</f>
        <v>3703</v>
      </c>
      <c r="F28" s="98">
        <f>SCST_OS_22!D28+SCST_OS_22!F28</f>
        <v>4878</v>
      </c>
      <c r="G28" s="98">
        <v>298</v>
      </c>
      <c r="H28" s="98">
        <v>404</v>
      </c>
      <c r="I28" s="98">
        <f>Minority_OS_20!O28</f>
        <v>4384</v>
      </c>
      <c r="J28" s="98">
        <f>Minority_OS_20!P28</f>
        <v>8949</v>
      </c>
      <c r="K28" s="98">
        <v>465</v>
      </c>
      <c r="L28" s="98">
        <v>6</v>
      </c>
      <c r="M28" s="98">
        <v>0</v>
      </c>
      <c r="N28" s="98">
        <v>0</v>
      </c>
      <c r="O28" s="98">
        <v>1472</v>
      </c>
      <c r="P28" s="98">
        <v>948</v>
      </c>
      <c r="Q28" s="98">
        <f t="shared" si="0"/>
        <v>16865</v>
      </c>
      <c r="R28" s="98">
        <f t="shared" si="1"/>
        <v>23277</v>
      </c>
      <c r="S28" s="113">
        <f>R28*100/'CD Ratio_3(i)'!F28</f>
        <v>14.766765420507388</v>
      </c>
      <c r="U28" s="110">
        <v>22515</v>
      </c>
      <c r="W28" s="110">
        <f t="shared" si="2"/>
        <v>-762</v>
      </c>
    </row>
    <row r="29" spans="1:23" ht="15" customHeight="1">
      <c r="A29" s="57">
        <v>24</v>
      </c>
      <c r="B29" s="97" t="s">
        <v>212</v>
      </c>
      <c r="C29" s="98">
        <v>32777</v>
      </c>
      <c r="D29" s="98">
        <v>15764</v>
      </c>
      <c r="E29" s="98">
        <f>SCST_OS_22!C29+SCST_OS_22!E29</f>
        <v>23892</v>
      </c>
      <c r="F29" s="98">
        <f>SCST_OS_22!D29+SCST_OS_22!F29</f>
        <v>18488</v>
      </c>
      <c r="G29" s="98">
        <v>968</v>
      </c>
      <c r="H29" s="98">
        <v>4146</v>
      </c>
      <c r="I29" s="98">
        <f>Minority_OS_20!O29</f>
        <v>26726</v>
      </c>
      <c r="J29" s="98">
        <f>Minority_OS_20!P29</f>
        <v>20576</v>
      </c>
      <c r="K29" s="98">
        <v>265</v>
      </c>
      <c r="L29" s="98">
        <v>9</v>
      </c>
      <c r="M29" s="98">
        <v>745</v>
      </c>
      <c r="N29" s="98">
        <v>76</v>
      </c>
      <c r="O29" s="98">
        <v>5945</v>
      </c>
      <c r="P29" s="98">
        <v>542</v>
      </c>
      <c r="Q29" s="98">
        <f t="shared" si="0"/>
        <v>91318</v>
      </c>
      <c r="R29" s="98">
        <f t="shared" si="1"/>
        <v>59601</v>
      </c>
      <c r="S29" s="113">
        <f>R29*100/'CD Ratio_3(i)'!F29</f>
        <v>13.146612511178569</v>
      </c>
      <c r="U29" s="110">
        <v>56231</v>
      </c>
      <c r="W29" s="110">
        <f t="shared" si="2"/>
        <v>-3370</v>
      </c>
    </row>
    <row r="30" spans="1:23" ht="15" customHeight="1">
      <c r="A30" s="57">
        <v>25</v>
      </c>
      <c r="B30" s="97" t="s">
        <v>66</v>
      </c>
      <c r="C30" s="98">
        <v>85532</v>
      </c>
      <c r="D30" s="98">
        <v>136143</v>
      </c>
      <c r="E30" s="98">
        <f>SCST_OS_22!C30+SCST_OS_22!E30</f>
        <v>34426</v>
      </c>
      <c r="F30" s="98">
        <f>SCST_OS_22!D30+SCST_OS_22!F30</f>
        <v>39518</v>
      </c>
      <c r="G30" s="98">
        <v>8002</v>
      </c>
      <c r="H30" s="98">
        <v>6367</v>
      </c>
      <c r="I30" s="98">
        <f>Minority_OS_20!O30</f>
        <v>10979</v>
      </c>
      <c r="J30" s="98">
        <f>Minority_OS_20!P30</f>
        <v>40332</v>
      </c>
      <c r="K30" s="98">
        <v>1802</v>
      </c>
      <c r="L30" s="98">
        <v>10</v>
      </c>
      <c r="M30" s="98">
        <v>298</v>
      </c>
      <c r="N30" s="98">
        <v>45</v>
      </c>
      <c r="O30" s="98">
        <v>216</v>
      </c>
      <c r="P30" s="98">
        <v>2326</v>
      </c>
      <c r="Q30" s="98">
        <f t="shared" si="0"/>
        <v>141255</v>
      </c>
      <c r="R30" s="98">
        <f t="shared" si="1"/>
        <v>224741</v>
      </c>
      <c r="S30" s="113">
        <f>R30*100/'CD Ratio_3(i)'!F30</f>
        <v>23.023810277763097</v>
      </c>
      <c r="U30" s="110">
        <v>212387</v>
      </c>
      <c r="W30" s="110">
        <f t="shared" si="2"/>
        <v>-12354</v>
      </c>
    </row>
    <row r="31" spans="1:23" ht="15" customHeight="1">
      <c r="A31" s="57">
        <v>26</v>
      </c>
      <c r="B31" s="100" t="s">
        <v>67</v>
      </c>
      <c r="C31" s="98">
        <v>19</v>
      </c>
      <c r="D31" s="98">
        <v>480</v>
      </c>
      <c r="E31" s="98">
        <f>SCST_OS_22!C31+SCST_OS_22!E31</f>
        <v>234</v>
      </c>
      <c r="F31" s="98">
        <f>SCST_OS_22!D31+SCST_OS_22!F31</f>
        <v>2369</v>
      </c>
      <c r="G31" s="98">
        <v>0</v>
      </c>
      <c r="H31" s="98">
        <v>0</v>
      </c>
      <c r="I31" s="98">
        <f>Minority_OS_20!O31</f>
        <v>158</v>
      </c>
      <c r="J31" s="98">
        <f>Minority_OS_20!P31</f>
        <v>587.6</v>
      </c>
      <c r="K31" s="98">
        <v>0</v>
      </c>
      <c r="L31" s="98">
        <v>0</v>
      </c>
      <c r="M31" s="98">
        <v>0</v>
      </c>
      <c r="N31" s="98">
        <v>0</v>
      </c>
      <c r="O31" s="98">
        <v>18</v>
      </c>
      <c r="P31" s="98">
        <v>151</v>
      </c>
      <c r="Q31" s="98">
        <f t="shared" si="0"/>
        <v>429</v>
      </c>
      <c r="R31" s="98">
        <f t="shared" si="1"/>
        <v>3587.6</v>
      </c>
      <c r="S31" s="113">
        <f>R31*100/'CD Ratio_3(i)'!F31</f>
        <v>12.410834745909295</v>
      </c>
      <c r="U31" s="110">
        <v>3666.04</v>
      </c>
      <c r="W31" s="110">
        <f t="shared" si="2"/>
        <v>78.440000000000055</v>
      </c>
    </row>
    <row r="32" spans="1:23" ht="15" customHeight="1">
      <c r="A32" s="57">
        <v>27</v>
      </c>
      <c r="B32" s="97" t="s">
        <v>50</v>
      </c>
      <c r="C32" s="98">
        <v>7596</v>
      </c>
      <c r="D32" s="98">
        <v>12631</v>
      </c>
      <c r="E32" s="98">
        <f>SCST_OS_22!C32+SCST_OS_22!E32</f>
        <v>825</v>
      </c>
      <c r="F32" s="98">
        <f>SCST_OS_22!D32+SCST_OS_22!F32</f>
        <v>174</v>
      </c>
      <c r="G32" s="98">
        <v>38</v>
      </c>
      <c r="H32" s="98">
        <v>15.87</v>
      </c>
      <c r="I32" s="98">
        <f>Minority_OS_20!O32</f>
        <v>1864</v>
      </c>
      <c r="J32" s="98">
        <f>Minority_OS_20!P32</f>
        <v>3040.24</v>
      </c>
      <c r="K32" s="98">
        <v>75</v>
      </c>
      <c r="L32" s="98">
        <v>0</v>
      </c>
      <c r="M32" s="98">
        <v>966</v>
      </c>
      <c r="N32" s="98">
        <v>125</v>
      </c>
      <c r="O32" s="98">
        <v>541</v>
      </c>
      <c r="P32" s="98">
        <v>7535.89</v>
      </c>
      <c r="Q32" s="98">
        <f t="shared" si="0"/>
        <v>11905</v>
      </c>
      <c r="R32" s="98">
        <f t="shared" si="1"/>
        <v>23522</v>
      </c>
      <c r="S32" s="113">
        <f>R32*100/'CD Ratio_3(i)'!F32</f>
        <v>26.006102954183618</v>
      </c>
      <c r="U32" s="110">
        <v>21029.129999999997</v>
      </c>
      <c r="W32" s="110">
        <f t="shared" si="2"/>
        <v>-2492.8700000000026</v>
      </c>
    </row>
    <row r="33" spans="1:23" s="107" customFormat="1" ht="15" customHeight="1">
      <c r="A33" s="294"/>
      <c r="B33" s="104" t="s">
        <v>286</v>
      </c>
      <c r="C33" s="105">
        <f>SUM(C6:C32)</f>
        <v>1364629</v>
      </c>
      <c r="D33" s="105">
        <f t="shared" ref="D33:R33" si="3">SUM(D6:D32)</f>
        <v>1884871.8200000003</v>
      </c>
      <c r="E33" s="105">
        <f>SCST_OS_22!C33+SCST_OS_22!E33</f>
        <v>571737.16999999993</v>
      </c>
      <c r="F33" s="105">
        <f>SCST_OS_22!D33+SCST_OS_22!F33</f>
        <v>1093356.81</v>
      </c>
      <c r="G33" s="105">
        <f t="shared" si="3"/>
        <v>36716</v>
      </c>
      <c r="H33" s="105">
        <f t="shared" si="3"/>
        <v>72155.299999999988</v>
      </c>
      <c r="I33" s="105">
        <f>Minority_OS_20!O33</f>
        <v>266732</v>
      </c>
      <c r="J33" s="105">
        <f>Minority_OS_20!P33</f>
        <v>659048.94999999995</v>
      </c>
      <c r="K33" s="105">
        <f t="shared" si="3"/>
        <v>40961</v>
      </c>
      <c r="L33" s="105">
        <f t="shared" si="3"/>
        <v>737.60000000000014</v>
      </c>
      <c r="M33" s="105">
        <f t="shared" si="3"/>
        <v>5971</v>
      </c>
      <c r="N33" s="105">
        <f t="shared" si="3"/>
        <v>1408.06</v>
      </c>
      <c r="O33" s="105">
        <f t="shared" si="3"/>
        <v>50256</v>
      </c>
      <c r="P33" s="105">
        <f t="shared" si="3"/>
        <v>107461.61</v>
      </c>
      <c r="Q33" s="105">
        <f t="shared" si="3"/>
        <v>2337002.17</v>
      </c>
      <c r="R33" s="105">
        <f t="shared" si="3"/>
        <v>3819040.15</v>
      </c>
      <c r="S33" s="114">
        <f>R33*100/'CD Ratio_3(i)'!F33</f>
        <v>24.260611205032802</v>
      </c>
      <c r="U33" s="111">
        <v>3606765.8399999994</v>
      </c>
      <c r="W33" s="110">
        <f t="shared" si="2"/>
        <v>-212274.31000000052</v>
      </c>
    </row>
    <row r="34" spans="1:23" ht="15" customHeight="1">
      <c r="A34" s="57">
        <v>28</v>
      </c>
      <c r="B34" s="97" t="s">
        <v>47</v>
      </c>
      <c r="C34" s="98">
        <v>37407</v>
      </c>
      <c r="D34" s="98">
        <v>28890.9</v>
      </c>
      <c r="E34" s="98">
        <f>SCST_OS_22!C34+SCST_OS_22!E34</f>
        <v>17391</v>
      </c>
      <c r="F34" s="98">
        <f>SCST_OS_22!D34+SCST_OS_22!F34</f>
        <v>6831.32</v>
      </c>
      <c r="G34" s="98">
        <v>25</v>
      </c>
      <c r="H34" s="98">
        <v>206.57</v>
      </c>
      <c r="I34" s="98">
        <f>Minority_OS_20!O34</f>
        <v>5549</v>
      </c>
      <c r="J34" s="98">
        <f>Minority_OS_20!P34</f>
        <v>10897.82</v>
      </c>
      <c r="K34" s="98">
        <v>0</v>
      </c>
      <c r="L34" s="98">
        <v>0</v>
      </c>
      <c r="M34" s="98">
        <v>0</v>
      </c>
      <c r="N34" s="98">
        <v>0</v>
      </c>
      <c r="O34" s="98">
        <v>13</v>
      </c>
      <c r="P34" s="98">
        <v>472.19</v>
      </c>
      <c r="Q34" s="98">
        <f t="shared" ref="Q34:Q55" si="4">C34+E34+G34+I34+K34+M34+O34</f>
        <v>60385</v>
      </c>
      <c r="R34" s="98">
        <f t="shared" ref="R34:R55" si="5">D34+F34+H34+J34+L34+N34+P34</f>
        <v>47298.8</v>
      </c>
      <c r="S34" s="113">
        <f>R34*100/'CD Ratio_3(i)'!F34</f>
        <v>7.5239823078532169</v>
      </c>
      <c r="U34" s="110">
        <v>35537.379999999997</v>
      </c>
      <c r="W34" s="110">
        <f t="shared" si="2"/>
        <v>-11761.420000000006</v>
      </c>
    </row>
    <row r="35" spans="1:23" ht="15" customHeight="1">
      <c r="A35" s="57">
        <v>29</v>
      </c>
      <c r="B35" s="97" t="s">
        <v>214</v>
      </c>
      <c r="C35" s="98">
        <v>0</v>
      </c>
      <c r="D35" s="98">
        <v>0</v>
      </c>
      <c r="E35" s="98">
        <f>SCST_OS_22!C35+SCST_OS_22!E35</f>
        <v>50368</v>
      </c>
      <c r="F35" s="98">
        <f>SCST_OS_22!D35+SCST_OS_22!F35</f>
        <v>13917.369999999999</v>
      </c>
      <c r="G35" s="98">
        <v>0</v>
      </c>
      <c r="H35" s="98">
        <v>0</v>
      </c>
      <c r="I35" s="98">
        <f>Minority_OS_20!O35</f>
        <v>52626</v>
      </c>
      <c r="J35" s="98">
        <f>Minority_OS_20!P35</f>
        <v>16540.509999999995</v>
      </c>
      <c r="K35" s="98">
        <v>0</v>
      </c>
      <c r="L35" s="98">
        <v>0</v>
      </c>
      <c r="M35" s="98">
        <v>0</v>
      </c>
      <c r="N35" s="98">
        <v>0</v>
      </c>
      <c r="O35" s="98">
        <v>140427</v>
      </c>
      <c r="P35" s="98">
        <v>40645.879999999997</v>
      </c>
      <c r="Q35" s="98">
        <f t="shared" si="4"/>
        <v>243421</v>
      </c>
      <c r="R35" s="98">
        <f t="shared" si="5"/>
        <v>71103.759999999995</v>
      </c>
      <c r="S35" s="113">
        <f>R35*100/'CD Ratio_3(i)'!F35</f>
        <v>95.994293029292749</v>
      </c>
      <c r="U35" s="110">
        <v>0</v>
      </c>
      <c r="W35" s="110">
        <f t="shared" si="2"/>
        <v>-71103.759999999995</v>
      </c>
    </row>
    <row r="36" spans="1:23" ht="15" customHeight="1">
      <c r="A36" s="57">
        <v>30</v>
      </c>
      <c r="B36" s="97" t="s">
        <v>215</v>
      </c>
      <c r="C36" s="98">
        <v>0</v>
      </c>
      <c r="D36" s="98">
        <v>0</v>
      </c>
      <c r="E36" s="98">
        <f>SCST_OS_22!C36+SCST_OS_22!E36</f>
        <v>0</v>
      </c>
      <c r="F36" s="98">
        <f>SCST_OS_22!D36+SCST_OS_22!F36</f>
        <v>0</v>
      </c>
      <c r="G36" s="98">
        <v>0</v>
      </c>
      <c r="H36" s="98">
        <v>0</v>
      </c>
      <c r="I36" s="98">
        <f>Minority_OS_20!O36</f>
        <v>0</v>
      </c>
      <c r="J36" s="98">
        <f>Minority_OS_20!P36</f>
        <v>0</v>
      </c>
      <c r="K36" s="98">
        <v>0</v>
      </c>
      <c r="L36" s="98">
        <v>0</v>
      </c>
      <c r="M36" s="98">
        <v>0</v>
      </c>
      <c r="N36" s="98">
        <v>0</v>
      </c>
      <c r="O36" s="98">
        <v>0</v>
      </c>
      <c r="P36" s="98">
        <v>0</v>
      </c>
      <c r="Q36" s="98">
        <f t="shared" si="4"/>
        <v>0</v>
      </c>
      <c r="R36" s="98">
        <f t="shared" si="5"/>
        <v>0</v>
      </c>
      <c r="S36" s="113">
        <f>R36*100/'CD Ratio_3(i)'!F36</f>
        <v>0</v>
      </c>
      <c r="U36" s="110">
        <v>0</v>
      </c>
      <c r="W36" s="110">
        <f t="shared" si="2"/>
        <v>0</v>
      </c>
    </row>
    <row r="37" spans="1:23" ht="15" customHeight="1">
      <c r="A37" s="57">
        <v>31</v>
      </c>
      <c r="B37" s="97" t="s">
        <v>78</v>
      </c>
      <c r="C37" s="98">
        <v>0</v>
      </c>
      <c r="D37" s="98">
        <v>0</v>
      </c>
      <c r="E37" s="98">
        <f>SCST_OS_22!C37+SCST_OS_22!E37</f>
        <v>0</v>
      </c>
      <c r="F37" s="98">
        <f>SCST_OS_22!D37+SCST_OS_22!F37</f>
        <v>0</v>
      </c>
      <c r="G37" s="98">
        <v>0</v>
      </c>
      <c r="H37" s="98">
        <v>0</v>
      </c>
      <c r="I37" s="98">
        <f>Minority_OS_20!O37</f>
        <v>0</v>
      </c>
      <c r="J37" s="98">
        <f>Minority_OS_20!P37</f>
        <v>0</v>
      </c>
      <c r="K37" s="98">
        <v>0</v>
      </c>
      <c r="L37" s="98">
        <v>0</v>
      </c>
      <c r="M37" s="98">
        <v>0</v>
      </c>
      <c r="N37" s="98">
        <v>0</v>
      </c>
      <c r="O37" s="98">
        <v>0</v>
      </c>
      <c r="P37" s="98">
        <v>0</v>
      </c>
      <c r="Q37" s="98">
        <f t="shared" si="4"/>
        <v>0</v>
      </c>
      <c r="R37" s="98">
        <f t="shared" si="5"/>
        <v>0</v>
      </c>
      <c r="S37" s="113">
        <f>R37*100/'CD Ratio_3(i)'!F37</f>
        <v>0</v>
      </c>
      <c r="U37" s="110">
        <v>0</v>
      </c>
      <c r="W37" s="110">
        <f t="shared" si="2"/>
        <v>0</v>
      </c>
    </row>
    <row r="38" spans="1:23" ht="15" customHeight="1">
      <c r="A38" s="57">
        <v>32</v>
      </c>
      <c r="B38" s="97" t="s">
        <v>51</v>
      </c>
      <c r="C38" s="98">
        <v>0</v>
      </c>
      <c r="D38" s="98">
        <v>0</v>
      </c>
      <c r="E38" s="98">
        <f>SCST_OS_22!C38+SCST_OS_22!E38</f>
        <v>0</v>
      </c>
      <c r="F38" s="98">
        <f>SCST_OS_22!D38+SCST_OS_22!F38</f>
        <v>0</v>
      </c>
      <c r="G38" s="98">
        <v>0</v>
      </c>
      <c r="H38" s="98">
        <v>0</v>
      </c>
      <c r="I38" s="98">
        <f>Minority_OS_20!O38</f>
        <v>0</v>
      </c>
      <c r="J38" s="98">
        <f>Minority_OS_20!P38</f>
        <v>0</v>
      </c>
      <c r="K38" s="98">
        <v>0</v>
      </c>
      <c r="L38" s="98">
        <v>0</v>
      </c>
      <c r="M38" s="98">
        <v>0</v>
      </c>
      <c r="N38" s="98">
        <v>0</v>
      </c>
      <c r="O38" s="98">
        <v>0</v>
      </c>
      <c r="P38" s="98">
        <v>0</v>
      </c>
      <c r="Q38" s="98">
        <f t="shared" si="4"/>
        <v>0</v>
      </c>
      <c r="R38" s="98">
        <f t="shared" si="5"/>
        <v>0</v>
      </c>
      <c r="S38" s="113">
        <f>R38*100/'CD Ratio_3(i)'!F38</f>
        <v>0</v>
      </c>
      <c r="U38" s="110">
        <v>0</v>
      </c>
      <c r="W38" s="110">
        <f t="shared" ref="W38:W63" si="6">U38-R38</f>
        <v>0</v>
      </c>
    </row>
    <row r="39" spans="1:23" ht="15" customHeight="1">
      <c r="A39" s="57">
        <v>33</v>
      </c>
      <c r="B39" s="97" t="s">
        <v>216</v>
      </c>
      <c r="C39" s="98">
        <v>5068</v>
      </c>
      <c r="D39" s="98">
        <v>7040.91</v>
      </c>
      <c r="E39" s="98">
        <f>SCST_OS_22!C39+SCST_OS_22!E39</f>
        <v>1</v>
      </c>
      <c r="F39" s="98">
        <f>SCST_OS_22!D39+SCST_OS_22!F39</f>
        <v>4.5</v>
      </c>
      <c r="G39" s="98">
        <v>1133</v>
      </c>
      <c r="H39" s="98">
        <v>955.07</v>
      </c>
      <c r="I39" s="98">
        <f>Minority_OS_20!O39</f>
        <v>68</v>
      </c>
      <c r="J39" s="98">
        <f>Minority_OS_20!P39</f>
        <v>720.66000000000008</v>
      </c>
      <c r="K39" s="98">
        <v>0</v>
      </c>
      <c r="L39" s="98">
        <v>0</v>
      </c>
      <c r="M39" s="98">
        <v>0</v>
      </c>
      <c r="N39" s="98">
        <v>0</v>
      </c>
      <c r="O39" s="98">
        <v>14957</v>
      </c>
      <c r="P39" s="98">
        <v>2827.26</v>
      </c>
      <c r="Q39" s="98">
        <f t="shared" si="4"/>
        <v>21227</v>
      </c>
      <c r="R39" s="98">
        <f t="shared" si="5"/>
        <v>11548.4</v>
      </c>
      <c r="S39" s="113">
        <f>R39*100/'CD Ratio_3(i)'!F39</f>
        <v>20.48378585713462</v>
      </c>
      <c r="U39" s="110">
        <v>0</v>
      </c>
      <c r="W39" s="110">
        <f t="shared" si="6"/>
        <v>-11548.4</v>
      </c>
    </row>
    <row r="40" spans="1:23" ht="15" customHeight="1">
      <c r="A40" s="57">
        <v>34</v>
      </c>
      <c r="B40" s="97" t="s">
        <v>217</v>
      </c>
      <c r="C40" s="98">
        <v>0</v>
      </c>
      <c r="D40" s="98">
        <v>0</v>
      </c>
      <c r="E40" s="98">
        <f>SCST_OS_22!C40+SCST_OS_22!E40</f>
        <v>0</v>
      </c>
      <c r="F40" s="98">
        <f>SCST_OS_22!D40+SCST_OS_22!F40</f>
        <v>0</v>
      </c>
      <c r="G40" s="98">
        <v>0</v>
      </c>
      <c r="H40" s="98">
        <v>0</v>
      </c>
      <c r="I40" s="98">
        <f>Minority_OS_20!O40</f>
        <v>5</v>
      </c>
      <c r="J40" s="98">
        <f>Minority_OS_20!P40</f>
        <v>5.57</v>
      </c>
      <c r="K40" s="98">
        <v>0</v>
      </c>
      <c r="L40" s="98">
        <v>0</v>
      </c>
      <c r="M40" s="98">
        <v>0</v>
      </c>
      <c r="N40" s="98">
        <v>0</v>
      </c>
      <c r="O40" s="98">
        <v>0</v>
      </c>
      <c r="P40" s="98">
        <v>0</v>
      </c>
      <c r="Q40" s="98">
        <f t="shared" si="4"/>
        <v>5</v>
      </c>
      <c r="R40" s="98">
        <f t="shared" si="5"/>
        <v>5.57</v>
      </c>
      <c r="S40" s="113">
        <f>R40*100/'CD Ratio_3(i)'!F40</f>
        <v>13.565513882123721</v>
      </c>
      <c r="U40" s="110">
        <v>5.71</v>
      </c>
      <c r="W40" s="110">
        <f t="shared" si="6"/>
        <v>0.13999999999999968</v>
      </c>
    </row>
    <row r="41" spans="1:23" ht="15" customHeight="1">
      <c r="A41" s="57">
        <v>35</v>
      </c>
      <c r="B41" s="97" t="s">
        <v>218</v>
      </c>
      <c r="C41" s="98">
        <v>1801</v>
      </c>
      <c r="D41" s="98">
        <v>2200</v>
      </c>
      <c r="E41" s="98">
        <f>SCST_OS_22!C41+SCST_OS_22!E41</f>
        <v>42</v>
      </c>
      <c r="F41" s="98">
        <f>SCST_OS_22!D41+SCST_OS_22!F41</f>
        <v>70</v>
      </c>
      <c r="G41" s="98">
        <v>0</v>
      </c>
      <c r="H41" s="98">
        <v>0</v>
      </c>
      <c r="I41" s="98">
        <f>Minority_OS_20!O41</f>
        <v>167</v>
      </c>
      <c r="J41" s="98">
        <f>Minority_OS_20!P41</f>
        <v>834</v>
      </c>
      <c r="K41" s="98">
        <v>0</v>
      </c>
      <c r="L41" s="98">
        <v>0</v>
      </c>
      <c r="M41" s="98">
        <v>0</v>
      </c>
      <c r="N41" s="98">
        <v>0</v>
      </c>
      <c r="O41" s="98">
        <v>1917</v>
      </c>
      <c r="P41" s="98">
        <v>2920</v>
      </c>
      <c r="Q41" s="98">
        <f t="shared" si="4"/>
        <v>3927</v>
      </c>
      <c r="R41" s="98">
        <f t="shared" si="5"/>
        <v>6024</v>
      </c>
      <c r="S41" s="113">
        <f>R41*100/'CD Ratio_3(i)'!F41</f>
        <v>32.803310825528207</v>
      </c>
      <c r="U41" s="110">
        <v>2806.05</v>
      </c>
      <c r="W41" s="110">
        <f t="shared" si="6"/>
        <v>-3217.95</v>
      </c>
    </row>
    <row r="42" spans="1:23" ht="15" customHeight="1">
      <c r="A42" s="57">
        <v>36</v>
      </c>
      <c r="B42" s="97" t="s">
        <v>71</v>
      </c>
      <c r="C42" s="98">
        <v>43250</v>
      </c>
      <c r="D42" s="98">
        <v>44649</v>
      </c>
      <c r="E42" s="98">
        <f>SCST_OS_22!C42+SCST_OS_22!E42</f>
        <v>5473</v>
      </c>
      <c r="F42" s="98">
        <f>SCST_OS_22!D42+SCST_OS_22!F42</f>
        <v>17033</v>
      </c>
      <c r="G42" s="98">
        <v>642</v>
      </c>
      <c r="H42" s="98">
        <v>142</v>
      </c>
      <c r="I42" s="98">
        <f>Minority_OS_20!O42</f>
        <v>19346</v>
      </c>
      <c r="J42" s="98">
        <f>Minority_OS_20!P42</f>
        <v>23457</v>
      </c>
      <c r="K42" s="98">
        <v>0</v>
      </c>
      <c r="L42" s="98">
        <v>0</v>
      </c>
      <c r="M42" s="98">
        <v>0</v>
      </c>
      <c r="N42" s="98">
        <v>0</v>
      </c>
      <c r="O42" s="98">
        <v>115377</v>
      </c>
      <c r="P42" s="98">
        <v>17154</v>
      </c>
      <c r="Q42" s="98">
        <f t="shared" si="4"/>
        <v>184088</v>
      </c>
      <c r="R42" s="98">
        <f t="shared" si="5"/>
        <v>102435</v>
      </c>
      <c r="S42" s="113">
        <f>R42*100/'CD Ratio_3(i)'!F42</f>
        <v>7.8107605264361855</v>
      </c>
      <c r="U42" s="110">
        <v>94211.989999999991</v>
      </c>
      <c r="W42" s="110">
        <f t="shared" si="6"/>
        <v>-8223.0100000000093</v>
      </c>
    </row>
    <row r="43" spans="1:23" ht="15" customHeight="1">
      <c r="A43" s="57">
        <v>37</v>
      </c>
      <c r="B43" s="97" t="s">
        <v>72</v>
      </c>
      <c r="C43" s="98">
        <v>0</v>
      </c>
      <c r="D43" s="98">
        <v>0</v>
      </c>
      <c r="E43" s="98">
        <f>SCST_OS_22!C43+SCST_OS_22!E43</f>
        <v>22759</v>
      </c>
      <c r="F43" s="98">
        <f>SCST_OS_22!D43+SCST_OS_22!F43</f>
        <v>29085</v>
      </c>
      <c r="G43" s="98">
        <v>5783</v>
      </c>
      <c r="H43" s="98">
        <v>2739</v>
      </c>
      <c r="I43" s="98">
        <f>Minority_OS_20!O43</f>
        <v>10004</v>
      </c>
      <c r="J43" s="98">
        <f>Minority_OS_20!P43</f>
        <v>34201</v>
      </c>
      <c r="K43" s="98">
        <v>36</v>
      </c>
      <c r="L43" s="98">
        <v>2</v>
      </c>
      <c r="M43" s="98">
        <v>0</v>
      </c>
      <c r="N43" s="98">
        <v>0</v>
      </c>
      <c r="O43" s="98">
        <v>48730</v>
      </c>
      <c r="P43" s="98">
        <v>77062</v>
      </c>
      <c r="Q43" s="98">
        <f t="shared" si="4"/>
        <v>87312</v>
      </c>
      <c r="R43" s="98">
        <f t="shared" si="5"/>
        <v>143089</v>
      </c>
      <c r="S43" s="113">
        <f>R43*100/'CD Ratio_3(i)'!F43</f>
        <v>12.870840941595532</v>
      </c>
      <c r="U43" s="110">
        <v>129678</v>
      </c>
      <c r="W43" s="110">
        <f t="shared" si="6"/>
        <v>-13411</v>
      </c>
    </row>
    <row r="44" spans="1:23" ht="15" customHeight="1">
      <c r="A44" s="57">
        <v>38</v>
      </c>
      <c r="B44" s="97" t="s">
        <v>219</v>
      </c>
      <c r="C44" s="98">
        <v>0</v>
      </c>
      <c r="D44" s="98">
        <v>0</v>
      </c>
      <c r="E44" s="98">
        <f>SCST_OS_22!C44+SCST_OS_22!E44</f>
        <v>690</v>
      </c>
      <c r="F44" s="98">
        <f>SCST_OS_22!D44+SCST_OS_22!F44</f>
        <v>271</v>
      </c>
      <c r="G44" s="98">
        <v>0</v>
      </c>
      <c r="H44" s="98">
        <v>0</v>
      </c>
      <c r="I44" s="98">
        <f>Minority_OS_20!O44</f>
        <v>543</v>
      </c>
      <c r="J44" s="98">
        <f>Minority_OS_20!P44</f>
        <v>254.29</v>
      </c>
      <c r="K44" s="98">
        <v>0</v>
      </c>
      <c r="L44" s="98">
        <v>0</v>
      </c>
      <c r="M44" s="98">
        <v>0</v>
      </c>
      <c r="N44" s="98">
        <v>0</v>
      </c>
      <c r="O44" s="98">
        <v>100472</v>
      </c>
      <c r="P44" s="98">
        <v>13757</v>
      </c>
      <c r="Q44" s="98">
        <f t="shared" si="4"/>
        <v>101705</v>
      </c>
      <c r="R44" s="98">
        <f t="shared" si="5"/>
        <v>14282.29</v>
      </c>
      <c r="S44" s="113">
        <f>R44*100/'CD Ratio_3(i)'!F44</f>
        <v>75.607676019057706</v>
      </c>
      <c r="U44" s="110">
        <v>14310.86</v>
      </c>
      <c r="W44" s="110">
        <f t="shared" si="6"/>
        <v>28.569999999999709</v>
      </c>
    </row>
    <row r="45" spans="1:23" ht="15" customHeight="1">
      <c r="A45" s="57">
        <v>39</v>
      </c>
      <c r="B45" s="97" t="s">
        <v>220</v>
      </c>
      <c r="C45" s="98">
        <v>0</v>
      </c>
      <c r="D45" s="98">
        <v>0</v>
      </c>
      <c r="E45" s="98">
        <f>SCST_OS_22!C45+SCST_OS_22!E45</f>
        <v>9144</v>
      </c>
      <c r="F45" s="98">
        <f>SCST_OS_22!D45+SCST_OS_22!F45</f>
        <v>7294.79</v>
      </c>
      <c r="G45" s="98">
        <v>0</v>
      </c>
      <c r="H45" s="98">
        <v>0</v>
      </c>
      <c r="I45" s="98">
        <f>Minority_OS_20!O45</f>
        <v>5681</v>
      </c>
      <c r="J45" s="98">
        <f>Minority_OS_20!P45</f>
        <v>12323.67</v>
      </c>
      <c r="K45" s="98">
        <v>0</v>
      </c>
      <c r="L45" s="98">
        <v>0</v>
      </c>
      <c r="M45" s="98">
        <v>0</v>
      </c>
      <c r="N45" s="98">
        <v>0</v>
      </c>
      <c r="O45" s="98">
        <v>0</v>
      </c>
      <c r="P45" s="98">
        <v>0</v>
      </c>
      <c r="Q45" s="98">
        <f t="shared" si="4"/>
        <v>14825</v>
      </c>
      <c r="R45" s="98">
        <f t="shared" si="5"/>
        <v>19618.46</v>
      </c>
      <c r="S45" s="113">
        <f>R45*100/'CD Ratio_3(i)'!F45</f>
        <v>6.7556680440771348</v>
      </c>
      <c r="U45" s="110">
        <v>77982</v>
      </c>
      <c r="W45" s="110">
        <f t="shared" si="6"/>
        <v>58363.54</v>
      </c>
    </row>
    <row r="46" spans="1:23" ht="15" customHeight="1">
      <c r="A46" s="57">
        <v>40</v>
      </c>
      <c r="B46" s="97" t="s">
        <v>221</v>
      </c>
      <c r="C46" s="98">
        <v>0</v>
      </c>
      <c r="D46" s="98">
        <v>0</v>
      </c>
      <c r="E46" s="98">
        <f>SCST_OS_22!C46+SCST_OS_22!E46</f>
        <v>24</v>
      </c>
      <c r="F46" s="98">
        <f>SCST_OS_22!D46+SCST_OS_22!F46</f>
        <v>11</v>
      </c>
      <c r="G46" s="98">
        <v>0</v>
      </c>
      <c r="H46" s="98">
        <v>0</v>
      </c>
      <c r="I46" s="98">
        <f>Minority_OS_20!O46</f>
        <v>85</v>
      </c>
      <c r="J46" s="98">
        <f>Minority_OS_20!P46</f>
        <v>576</v>
      </c>
      <c r="K46" s="98">
        <v>0</v>
      </c>
      <c r="L46" s="98">
        <v>0</v>
      </c>
      <c r="M46" s="98">
        <v>4</v>
      </c>
      <c r="N46" s="98">
        <v>40</v>
      </c>
      <c r="O46" s="98">
        <v>0</v>
      </c>
      <c r="P46" s="98">
        <v>0</v>
      </c>
      <c r="Q46" s="98">
        <f t="shared" si="4"/>
        <v>113</v>
      </c>
      <c r="R46" s="98">
        <f t="shared" si="5"/>
        <v>627</v>
      </c>
      <c r="S46" s="113">
        <f>R46*100/'CD Ratio_3(i)'!F46</f>
        <v>19.447890818858561</v>
      </c>
      <c r="U46" s="110">
        <v>0</v>
      </c>
      <c r="W46" s="110">
        <f t="shared" si="6"/>
        <v>-627</v>
      </c>
    </row>
    <row r="47" spans="1:23" ht="15" customHeight="1">
      <c r="A47" s="57">
        <v>41</v>
      </c>
      <c r="B47" s="97" t="s">
        <v>222</v>
      </c>
      <c r="C47" s="98">
        <v>42</v>
      </c>
      <c r="D47" s="98">
        <v>1223.95</v>
      </c>
      <c r="E47" s="98">
        <f>SCST_OS_22!C47+SCST_OS_22!E47</f>
        <v>9</v>
      </c>
      <c r="F47" s="98">
        <f>SCST_OS_22!D47+SCST_OS_22!F47</f>
        <v>99.78</v>
      </c>
      <c r="G47" s="98">
        <v>1</v>
      </c>
      <c r="H47" s="98">
        <v>3.5</v>
      </c>
      <c r="I47" s="98">
        <f>Minority_OS_20!O47</f>
        <v>67</v>
      </c>
      <c r="J47" s="98">
        <f>Minority_OS_20!P47</f>
        <v>569.53</v>
      </c>
      <c r="K47" s="98">
        <v>0</v>
      </c>
      <c r="L47" s="98">
        <v>0</v>
      </c>
      <c r="M47" s="98">
        <v>0</v>
      </c>
      <c r="N47" s="98">
        <v>0</v>
      </c>
      <c r="O47" s="98">
        <v>497</v>
      </c>
      <c r="P47" s="98">
        <v>3497.74</v>
      </c>
      <c r="Q47" s="98">
        <f t="shared" si="4"/>
        <v>616</v>
      </c>
      <c r="R47" s="98">
        <f t="shared" si="5"/>
        <v>5394.5</v>
      </c>
      <c r="S47" s="113">
        <f>R47*100/'CD Ratio_3(i)'!F47</f>
        <v>15.201769711999098</v>
      </c>
      <c r="U47" s="110">
        <v>1842.6999999999998</v>
      </c>
      <c r="W47" s="110">
        <f t="shared" si="6"/>
        <v>-3551.8</v>
      </c>
    </row>
    <row r="48" spans="1:23" ht="15" customHeight="1">
      <c r="A48" s="57">
        <v>42</v>
      </c>
      <c r="B48" s="97" t="s">
        <v>223</v>
      </c>
      <c r="C48" s="98">
        <v>0</v>
      </c>
      <c r="D48" s="98">
        <v>0</v>
      </c>
      <c r="E48" s="98">
        <f>SCST_OS_22!C48+SCST_OS_22!E48</f>
        <v>0</v>
      </c>
      <c r="F48" s="98">
        <f>SCST_OS_22!D48+SCST_OS_22!F48</f>
        <v>0</v>
      </c>
      <c r="G48" s="98">
        <v>0</v>
      </c>
      <c r="H48" s="98">
        <v>0</v>
      </c>
      <c r="I48" s="98">
        <f>Minority_OS_20!O48</f>
        <v>0</v>
      </c>
      <c r="J48" s="98">
        <f>Minority_OS_20!P48</f>
        <v>0</v>
      </c>
      <c r="K48" s="98">
        <v>0</v>
      </c>
      <c r="L48" s="98">
        <v>0</v>
      </c>
      <c r="M48" s="98">
        <v>0</v>
      </c>
      <c r="N48" s="98">
        <v>0</v>
      </c>
      <c r="O48" s="98">
        <v>0</v>
      </c>
      <c r="P48" s="98">
        <v>0</v>
      </c>
      <c r="Q48" s="98">
        <f t="shared" si="4"/>
        <v>0</v>
      </c>
      <c r="R48" s="98">
        <f t="shared" si="5"/>
        <v>0</v>
      </c>
      <c r="S48" s="113">
        <f>R48*100/'CD Ratio_3(i)'!F48</f>
        <v>0</v>
      </c>
      <c r="U48" s="110">
        <v>0</v>
      </c>
      <c r="W48" s="110">
        <f t="shared" si="6"/>
        <v>0</v>
      </c>
    </row>
    <row r="49" spans="1:23" ht="15" customHeight="1">
      <c r="A49" s="57">
        <v>43</v>
      </c>
      <c r="B49" s="106" t="s">
        <v>73</v>
      </c>
      <c r="C49" s="98">
        <v>27440</v>
      </c>
      <c r="D49" s="98">
        <v>61336</v>
      </c>
      <c r="E49" s="98">
        <f>SCST_OS_22!C49+SCST_OS_22!E49</f>
        <v>5421</v>
      </c>
      <c r="F49" s="98">
        <f>SCST_OS_22!D49+SCST_OS_22!F49</f>
        <v>12614</v>
      </c>
      <c r="G49" s="98">
        <v>0</v>
      </c>
      <c r="H49" s="98">
        <v>0</v>
      </c>
      <c r="I49" s="98">
        <f>Minority_OS_20!O49</f>
        <v>2027</v>
      </c>
      <c r="J49" s="98">
        <f>Minority_OS_20!P49</f>
        <v>11861</v>
      </c>
      <c r="K49" s="98">
        <v>0</v>
      </c>
      <c r="L49" s="98">
        <v>0</v>
      </c>
      <c r="M49" s="98">
        <v>0</v>
      </c>
      <c r="N49" s="98">
        <v>0</v>
      </c>
      <c r="O49" s="98">
        <v>0</v>
      </c>
      <c r="P49" s="98">
        <v>0</v>
      </c>
      <c r="Q49" s="98">
        <f t="shared" si="4"/>
        <v>34888</v>
      </c>
      <c r="R49" s="98">
        <f t="shared" si="5"/>
        <v>85811</v>
      </c>
      <c r="S49" s="113">
        <f>R49*100/'CD Ratio_3(i)'!F49</f>
        <v>37.051541673323285</v>
      </c>
      <c r="U49" s="110">
        <v>75478</v>
      </c>
      <c r="W49" s="110">
        <f t="shared" si="6"/>
        <v>-10333</v>
      </c>
    </row>
    <row r="50" spans="1:23" ht="15" customHeight="1">
      <c r="A50" s="57">
        <v>44</v>
      </c>
      <c r="B50" s="97" t="s">
        <v>224</v>
      </c>
      <c r="C50" s="98">
        <v>0</v>
      </c>
      <c r="D50" s="98">
        <v>0</v>
      </c>
      <c r="E50" s="98">
        <f>SCST_OS_22!C50+SCST_OS_22!E50</f>
        <v>1</v>
      </c>
      <c r="F50" s="98">
        <f>SCST_OS_22!D50+SCST_OS_22!F50</f>
        <v>0.76</v>
      </c>
      <c r="G50" s="98">
        <v>0</v>
      </c>
      <c r="H50" s="98">
        <v>0</v>
      </c>
      <c r="I50" s="98">
        <f>Minority_OS_20!O50</f>
        <v>1</v>
      </c>
      <c r="J50" s="98">
        <f>Minority_OS_20!P50</f>
        <v>21.83</v>
      </c>
      <c r="K50" s="98">
        <v>0</v>
      </c>
      <c r="L50" s="98">
        <v>0</v>
      </c>
      <c r="M50" s="98">
        <v>0</v>
      </c>
      <c r="N50" s="98">
        <v>0</v>
      </c>
      <c r="O50" s="98">
        <v>0</v>
      </c>
      <c r="P50" s="98">
        <v>0</v>
      </c>
      <c r="Q50" s="98">
        <f t="shared" si="4"/>
        <v>2</v>
      </c>
      <c r="R50" s="98">
        <f t="shared" si="5"/>
        <v>22.59</v>
      </c>
      <c r="S50" s="113">
        <f>R50*100/'CD Ratio_3(i)'!F50</f>
        <v>0.38320610687022899</v>
      </c>
      <c r="U50" s="110">
        <v>1</v>
      </c>
      <c r="W50" s="110">
        <f t="shared" si="6"/>
        <v>-21.59</v>
      </c>
    </row>
    <row r="51" spans="1:23" ht="15" customHeight="1">
      <c r="A51" s="57">
        <v>45</v>
      </c>
      <c r="B51" s="97" t="s">
        <v>225</v>
      </c>
      <c r="C51" s="98">
        <v>10835</v>
      </c>
      <c r="D51" s="98">
        <v>4962</v>
      </c>
      <c r="E51" s="98">
        <f>SCST_OS_22!C51+SCST_OS_22!E51</f>
        <v>6560</v>
      </c>
      <c r="F51" s="98">
        <f>SCST_OS_22!D51+SCST_OS_22!F51</f>
        <v>1043</v>
      </c>
      <c r="G51" s="98">
        <v>0</v>
      </c>
      <c r="H51" s="98">
        <v>0</v>
      </c>
      <c r="I51" s="98">
        <f>Minority_OS_20!O51</f>
        <v>4871</v>
      </c>
      <c r="J51" s="98">
        <f>Minority_OS_20!P51</f>
        <v>924</v>
      </c>
      <c r="K51" s="98">
        <v>0</v>
      </c>
      <c r="L51" s="98">
        <v>0</v>
      </c>
      <c r="M51" s="98">
        <v>0</v>
      </c>
      <c r="N51" s="98">
        <v>0</v>
      </c>
      <c r="O51" s="98">
        <v>176334</v>
      </c>
      <c r="P51" s="98">
        <v>25971</v>
      </c>
      <c r="Q51" s="98">
        <f t="shared" si="4"/>
        <v>198600</v>
      </c>
      <c r="R51" s="98">
        <f t="shared" si="5"/>
        <v>32900</v>
      </c>
      <c r="S51" s="113">
        <f>R51*100/'CD Ratio_3(i)'!F51</f>
        <v>47.742047829115393</v>
      </c>
      <c r="U51" s="110">
        <v>21351.25</v>
      </c>
      <c r="W51" s="110">
        <f t="shared" si="6"/>
        <v>-11548.75</v>
      </c>
    </row>
    <row r="52" spans="1:23" ht="15" customHeight="1">
      <c r="A52" s="57">
        <v>46</v>
      </c>
      <c r="B52" s="97" t="s">
        <v>226</v>
      </c>
      <c r="C52" s="98">
        <v>0</v>
      </c>
      <c r="D52" s="98">
        <v>0</v>
      </c>
      <c r="E52" s="98">
        <f>SCST_OS_22!C52+SCST_OS_22!E52</f>
        <v>0</v>
      </c>
      <c r="F52" s="98">
        <f>SCST_OS_22!D52+SCST_OS_22!F52</f>
        <v>0</v>
      </c>
      <c r="G52" s="98">
        <v>0</v>
      </c>
      <c r="H52" s="98">
        <v>0</v>
      </c>
      <c r="I52" s="98">
        <f>Minority_OS_20!O52</f>
        <v>0</v>
      </c>
      <c r="J52" s="98">
        <f>Minority_OS_20!P52</f>
        <v>0</v>
      </c>
      <c r="K52" s="98">
        <v>0</v>
      </c>
      <c r="L52" s="98">
        <v>0</v>
      </c>
      <c r="M52" s="98">
        <v>0</v>
      </c>
      <c r="N52" s="98">
        <v>0</v>
      </c>
      <c r="O52" s="98">
        <v>0</v>
      </c>
      <c r="P52" s="98">
        <v>0</v>
      </c>
      <c r="Q52" s="98">
        <f t="shared" si="4"/>
        <v>0</v>
      </c>
      <c r="R52" s="98">
        <f t="shared" si="5"/>
        <v>0</v>
      </c>
      <c r="S52" s="113">
        <f>R52*100/'CD Ratio_3(i)'!F52</f>
        <v>0</v>
      </c>
      <c r="U52" s="110">
        <v>74</v>
      </c>
      <c r="W52" s="110">
        <f t="shared" si="6"/>
        <v>74</v>
      </c>
    </row>
    <row r="53" spans="1:23" ht="15" customHeight="1">
      <c r="A53" s="57">
        <v>47</v>
      </c>
      <c r="B53" s="97" t="s">
        <v>77</v>
      </c>
      <c r="C53" s="98">
        <v>0</v>
      </c>
      <c r="D53" s="98">
        <v>0</v>
      </c>
      <c r="E53" s="98">
        <f>SCST_OS_22!C53+SCST_OS_22!E53</f>
        <v>0</v>
      </c>
      <c r="F53" s="98">
        <f>SCST_OS_22!D53+SCST_OS_22!F53</f>
        <v>0</v>
      </c>
      <c r="G53" s="98">
        <v>0</v>
      </c>
      <c r="H53" s="98">
        <v>0</v>
      </c>
      <c r="I53" s="98">
        <f>Minority_OS_20!O53</f>
        <v>0</v>
      </c>
      <c r="J53" s="98">
        <f>Minority_OS_20!P53</f>
        <v>0</v>
      </c>
      <c r="K53" s="98">
        <v>0</v>
      </c>
      <c r="L53" s="98">
        <v>0</v>
      </c>
      <c r="M53" s="98">
        <v>0</v>
      </c>
      <c r="N53" s="98">
        <v>0</v>
      </c>
      <c r="O53" s="98">
        <v>0</v>
      </c>
      <c r="P53" s="98">
        <v>0</v>
      </c>
      <c r="Q53" s="98">
        <f t="shared" si="4"/>
        <v>0</v>
      </c>
      <c r="R53" s="98">
        <f t="shared" si="5"/>
        <v>0</v>
      </c>
      <c r="S53" s="113">
        <f>R53*100/'CD Ratio_3(i)'!F53</f>
        <v>0</v>
      </c>
      <c r="U53" s="110">
        <v>0</v>
      </c>
      <c r="W53" s="110">
        <f t="shared" si="6"/>
        <v>0</v>
      </c>
    </row>
    <row r="54" spans="1:23" ht="15" customHeight="1">
      <c r="A54" s="57">
        <v>48</v>
      </c>
      <c r="B54" s="97" t="s">
        <v>227</v>
      </c>
      <c r="C54" s="98">
        <v>0</v>
      </c>
      <c r="D54" s="98">
        <v>0</v>
      </c>
      <c r="E54" s="98">
        <f>SCST_OS_22!C54+SCST_OS_22!E54</f>
        <v>0</v>
      </c>
      <c r="F54" s="98">
        <f>SCST_OS_22!D54+SCST_OS_22!F54</f>
        <v>0</v>
      </c>
      <c r="G54" s="98">
        <v>0</v>
      </c>
      <c r="H54" s="98">
        <v>0</v>
      </c>
      <c r="I54" s="98">
        <f>Minority_OS_20!O54</f>
        <v>0</v>
      </c>
      <c r="J54" s="98">
        <f>Minority_OS_20!P54</f>
        <v>0</v>
      </c>
      <c r="K54" s="98">
        <v>0</v>
      </c>
      <c r="L54" s="98">
        <v>0</v>
      </c>
      <c r="M54" s="98">
        <v>0</v>
      </c>
      <c r="N54" s="98">
        <v>0</v>
      </c>
      <c r="O54" s="98">
        <v>0</v>
      </c>
      <c r="P54" s="98">
        <v>0</v>
      </c>
      <c r="Q54" s="98">
        <f t="shared" si="4"/>
        <v>0</v>
      </c>
      <c r="R54" s="98">
        <f t="shared" si="5"/>
        <v>0</v>
      </c>
      <c r="S54" s="113">
        <f>R54*100/'CD Ratio_3(i)'!F54</f>
        <v>0</v>
      </c>
      <c r="U54" s="110">
        <v>0</v>
      </c>
      <c r="W54" s="110">
        <f t="shared" si="6"/>
        <v>0</v>
      </c>
    </row>
    <row r="55" spans="1:23" ht="15" customHeight="1">
      <c r="A55" s="57">
        <v>49</v>
      </c>
      <c r="B55" s="97" t="s">
        <v>76</v>
      </c>
      <c r="C55" s="98">
        <v>15566</v>
      </c>
      <c r="D55" s="98">
        <v>5258.93</v>
      </c>
      <c r="E55" s="98">
        <f>SCST_OS_22!C55+SCST_OS_22!E55</f>
        <v>62</v>
      </c>
      <c r="F55" s="98">
        <f>SCST_OS_22!D55+SCST_OS_22!F55</f>
        <v>438</v>
      </c>
      <c r="G55" s="98">
        <v>5851</v>
      </c>
      <c r="H55" s="98">
        <v>4887</v>
      </c>
      <c r="I55" s="98">
        <f>Minority_OS_20!O55</f>
        <v>44</v>
      </c>
      <c r="J55" s="98">
        <f>Minority_OS_20!P55</f>
        <v>2957.61</v>
      </c>
      <c r="K55" s="98">
        <v>0</v>
      </c>
      <c r="L55" s="98">
        <v>0</v>
      </c>
      <c r="M55" s="98">
        <v>0</v>
      </c>
      <c r="N55" s="98">
        <v>0</v>
      </c>
      <c r="O55" s="98">
        <v>22720</v>
      </c>
      <c r="P55" s="98">
        <v>11865</v>
      </c>
      <c r="Q55" s="98">
        <f t="shared" si="4"/>
        <v>44243</v>
      </c>
      <c r="R55" s="98">
        <f t="shared" si="5"/>
        <v>25406.54</v>
      </c>
      <c r="S55" s="113">
        <f>R55*100/'CD Ratio_3(i)'!F55</f>
        <v>28.150386303376404</v>
      </c>
      <c r="U55" s="110">
        <v>28817.11</v>
      </c>
      <c r="W55" s="110">
        <f t="shared" si="6"/>
        <v>3410.5699999999997</v>
      </c>
    </row>
    <row r="56" spans="1:23" ht="15" customHeight="1">
      <c r="A56" s="59"/>
      <c r="B56" s="104" t="s">
        <v>287</v>
      </c>
      <c r="C56" s="105">
        <f>SUM(C34:C55)</f>
        <v>141409</v>
      </c>
      <c r="D56" s="105">
        <f t="shared" ref="D56:R56" si="7">SUM(D34:D55)</f>
        <v>155561.69</v>
      </c>
      <c r="E56" s="105">
        <f>SCST_OS_22!C56+SCST_OS_22!E56</f>
        <v>117945</v>
      </c>
      <c r="F56" s="105">
        <f>SCST_OS_22!D56+SCST_OS_22!F56</f>
        <v>88713.52</v>
      </c>
      <c r="G56" s="105">
        <f t="shared" si="7"/>
        <v>13435</v>
      </c>
      <c r="H56" s="105">
        <f t="shared" si="7"/>
        <v>8933.14</v>
      </c>
      <c r="I56" s="105">
        <f>Minority_OS_20!O56</f>
        <v>101084</v>
      </c>
      <c r="J56" s="105">
        <f>Minority_OS_20!P56</f>
        <v>116144.48999999999</v>
      </c>
      <c r="K56" s="105">
        <f t="shared" si="7"/>
        <v>36</v>
      </c>
      <c r="L56" s="105">
        <f t="shared" si="7"/>
        <v>2</v>
      </c>
      <c r="M56" s="105">
        <f t="shared" si="7"/>
        <v>4</v>
      </c>
      <c r="N56" s="105">
        <f t="shared" si="7"/>
        <v>40</v>
      </c>
      <c r="O56" s="105">
        <f t="shared" si="7"/>
        <v>621444</v>
      </c>
      <c r="P56" s="105">
        <f t="shared" si="7"/>
        <v>196172.07</v>
      </c>
      <c r="Q56" s="105">
        <f t="shared" si="7"/>
        <v>995357</v>
      </c>
      <c r="R56" s="105">
        <f t="shared" si="7"/>
        <v>565566.91000000015</v>
      </c>
      <c r="S56" s="114">
        <f>R56*100/'CD Ratio_3(i)'!F56</f>
        <v>14.194911483073241</v>
      </c>
      <c r="U56" s="110">
        <v>482096.05</v>
      </c>
      <c r="W56" s="110">
        <f t="shared" si="6"/>
        <v>-83470.860000000161</v>
      </c>
    </row>
    <row r="57" spans="1:23" ht="15" customHeight="1">
      <c r="A57" s="57">
        <v>48</v>
      </c>
      <c r="B57" s="58" t="s">
        <v>46</v>
      </c>
      <c r="C57" s="98">
        <v>46978</v>
      </c>
      <c r="D57" s="98">
        <v>65838.789999999994</v>
      </c>
      <c r="E57" s="98">
        <f>SCST_OS_22!C57+SCST_OS_22!E57</f>
        <v>62802</v>
      </c>
      <c r="F57" s="98">
        <f>SCST_OS_22!D57+SCST_OS_22!F57</f>
        <v>56432.36</v>
      </c>
      <c r="G57" s="98">
        <v>13859</v>
      </c>
      <c r="H57" s="98">
        <v>3606</v>
      </c>
      <c r="I57" s="98">
        <f>Minority_OS_20!O57</f>
        <v>35282</v>
      </c>
      <c r="J57" s="98">
        <f>Minority_OS_20!P57</f>
        <v>25666.629999999997</v>
      </c>
      <c r="K57" s="98">
        <v>1366</v>
      </c>
      <c r="L57" s="98">
        <v>3</v>
      </c>
      <c r="M57" s="98">
        <v>0</v>
      </c>
      <c r="N57" s="98">
        <v>0</v>
      </c>
      <c r="O57" s="98">
        <v>170694</v>
      </c>
      <c r="P57" s="98">
        <v>158436.79999999999</v>
      </c>
      <c r="Q57" s="98">
        <f t="shared" ref="Q57:R59" si="8">C57+E57+G57+I57+K57+M57+O57</f>
        <v>330981</v>
      </c>
      <c r="R57" s="98">
        <f t="shared" si="8"/>
        <v>309983.57999999996</v>
      </c>
      <c r="S57" s="113">
        <f>R57*100/'CD Ratio_3(i)'!F57</f>
        <v>77.476940266563773</v>
      </c>
      <c r="U57" s="110">
        <v>299499.91000000003</v>
      </c>
      <c r="W57" s="110">
        <f t="shared" si="6"/>
        <v>-10483.669999999925</v>
      </c>
    </row>
    <row r="58" spans="1:23" ht="15" customHeight="1">
      <c r="A58" s="57">
        <v>49</v>
      </c>
      <c r="B58" s="58" t="s">
        <v>228</v>
      </c>
      <c r="C58" s="98">
        <v>135711</v>
      </c>
      <c r="D58" s="98">
        <v>85729</v>
      </c>
      <c r="E58" s="98">
        <f>SCST_OS_22!C58+SCST_OS_22!E58</f>
        <v>75993</v>
      </c>
      <c r="F58" s="98">
        <f>SCST_OS_22!D58+SCST_OS_22!F58</f>
        <v>29596</v>
      </c>
      <c r="G58" s="98">
        <v>6927</v>
      </c>
      <c r="H58" s="98">
        <v>1539</v>
      </c>
      <c r="I58" s="98">
        <f>Minority_OS_20!O58</f>
        <v>38588</v>
      </c>
      <c r="J58" s="98">
        <f>Minority_OS_20!P58</f>
        <v>12918</v>
      </c>
      <c r="K58" s="98">
        <v>0</v>
      </c>
      <c r="L58" s="98">
        <v>0</v>
      </c>
      <c r="M58" s="98">
        <v>0</v>
      </c>
      <c r="N58" s="98">
        <v>0</v>
      </c>
      <c r="O58" s="98">
        <v>18474</v>
      </c>
      <c r="P58" s="98">
        <v>10094</v>
      </c>
      <c r="Q58" s="98">
        <f t="shared" si="8"/>
        <v>275693</v>
      </c>
      <c r="R58" s="98">
        <f t="shared" si="8"/>
        <v>139876</v>
      </c>
      <c r="S58" s="113">
        <f>R58*100/'CD Ratio_3(i)'!F58</f>
        <v>53.878450314697972</v>
      </c>
      <c r="U58" s="110">
        <v>178601</v>
      </c>
      <c r="W58" s="110">
        <f t="shared" si="6"/>
        <v>38725</v>
      </c>
    </row>
    <row r="59" spans="1:23" ht="15" customHeight="1">
      <c r="A59" s="57">
        <v>50</v>
      </c>
      <c r="B59" s="58" t="s">
        <v>52</v>
      </c>
      <c r="C59" s="98"/>
      <c r="D59" s="98"/>
      <c r="E59" s="98">
        <f>SCST_OS_22!C59+SCST_OS_22!E59</f>
        <v>60906</v>
      </c>
      <c r="F59" s="98">
        <f>SCST_OS_22!D59+SCST_OS_22!F59</f>
        <v>31202.29</v>
      </c>
      <c r="G59" s="98"/>
      <c r="H59" s="98"/>
      <c r="I59" s="98">
        <f>Minority_OS_20!O59</f>
        <v>16953</v>
      </c>
      <c r="J59" s="98">
        <f>Minority_OS_20!P59</f>
        <v>18844.070000000003</v>
      </c>
      <c r="K59" s="98"/>
      <c r="L59" s="98"/>
      <c r="M59" s="98"/>
      <c r="N59" s="98"/>
      <c r="O59" s="98"/>
      <c r="P59" s="98"/>
      <c r="Q59" s="98">
        <f t="shared" si="8"/>
        <v>77859</v>
      </c>
      <c r="R59" s="98">
        <f t="shared" si="8"/>
        <v>50046.36</v>
      </c>
      <c r="S59" s="113">
        <f>R59*100/'CD Ratio_3(i)'!F59</f>
        <v>11.153580507373944</v>
      </c>
      <c r="U59" s="110">
        <v>97480.89</v>
      </c>
      <c r="W59" s="110">
        <f t="shared" si="6"/>
        <v>47434.53</v>
      </c>
    </row>
    <row r="60" spans="1:23" s="107" customFormat="1">
      <c r="A60" s="294"/>
      <c r="B60" s="59" t="s">
        <v>293</v>
      </c>
      <c r="C60" s="105">
        <f>SUM(C57:C59)</f>
        <v>182689</v>
      </c>
      <c r="D60" s="105">
        <f t="shared" ref="D60:R60" si="9">SUM(D57:D59)</f>
        <v>151567.78999999998</v>
      </c>
      <c r="E60" s="105">
        <f>SCST_OS_22!C60+SCST_OS_22!E60</f>
        <v>199701</v>
      </c>
      <c r="F60" s="105">
        <f>SCST_OS_22!D60+SCST_OS_22!F60</f>
        <v>117230.65</v>
      </c>
      <c r="G60" s="105">
        <f t="shared" si="9"/>
        <v>20786</v>
      </c>
      <c r="H60" s="105">
        <f t="shared" si="9"/>
        <v>5145</v>
      </c>
      <c r="I60" s="105">
        <f>Minority_OS_20!O60</f>
        <v>90823</v>
      </c>
      <c r="J60" s="105">
        <f>Minority_OS_20!P60</f>
        <v>57428.7</v>
      </c>
      <c r="K60" s="105">
        <f t="shared" si="9"/>
        <v>1366</v>
      </c>
      <c r="L60" s="105">
        <f t="shared" si="9"/>
        <v>3</v>
      </c>
      <c r="M60" s="105">
        <f t="shared" si="9"/>
        <v>0</v>
      </c>
      <c r="N60" s="105">
        <f t="shared" si="9"/>
        <v>0</v>
      </c>
      <c r="O60" s="105">
        <f t="shared" si="9"/>
        <v>189168</v>
      </c>
      <c r="P60" s="105">
        <f t="shared" si="9"/>
        <v>168530.8</v>
      </c>
      <c r="Q60" s="105">
        <f t="shared" si="9"/>
        <v>684533</v>
      </c>
      <c r="R60" s="105">
        <f t="shared" si="9"/>
        <v>499905.93999999994</v>
      </c>
      <c r="S60" s="114">
        <f>R60*100/'CD Ratio_3(i)'!F60</f>
        <v>45.101010763982998</v>
      </c>
      <c r="U60" s="111">
        <v>575581.80000000005</v>
      </c>
      <c r="W60" s="110">
        <f t="shared" si="6"/>
        <v>75675.860000000102</v>
      </c>
    </row>
    <row r="61" spans="1:23">
      <c r="A61" s="57">
        <v>51</v>
      </c>
      <c r="B61" s="58" t="s">
        <v>288</v>
      </c>
      <c r="C61" s="98">
        <v>0</v>
      </c>
      <c r="D61" s="98">
        <v>432151.26</v>
      </c>
      <c r="E61" s="98">
        <f>SCST_OS_22!C61+SCST_OS_22!E61</f>
        <v>546456</v>
      </c>
      <c r="F61" s="98">
        <f>SCST_OS_22!D61+SCST_OS_22!F61</f>
        <v>243553</v>
      </c>
      <c r="G61" s="98">
        <v>11201</v>
      </c>
      <c r="H61" s="98">
        <v>1268.6199999999999</v>
      </c>
      <c r="I61" s="98">
        <f>Minority_OS_20!O61</f>
        <v>58725</v>
      </c>
      <c r="J61" s="98">
        <f>Minority_OS_20!P61</f>
        <v>30179</v>
      </c>
      <c r="K61" s="98">
        <v>0</v>
      </c>
      <c r="L61" s="98">
        <v>0</v>
      </c>
      <c r="M61" s="98">
        <v>0</v>
      </c>
      <c r="N61" s="98">
        <v>0</v>
      </c>
      <c r="O61" s="98">
        <v>0</v>
      </c>
      <c r="P61" s="98">
        <v>0</v>
      </c>
      <c r="Q61" s="98">
        <f>C61+E61+G61+I61+K61+M61+O61</f>
        <v>616382</v>
      </c>
      <c r="R61" s="98">
        <f>D61+F61+H61+J61+L61+N61+P61</f>
        <v>707151.88</v>
      </c>
      <c r="S61" s="113">
        <f>R61*100/'CD Ratio_3(i)'!F61</f>
        <v>22.294099101996139</v>
      </c>
      <c r="U61" s="110">
        <v>265434.62</v>
      </c>
      <c r="W61" s="110">
        <f t="shared" si="6"/>
        <v>-441717.26</v>
      </c>
    </row>
    <row r="62" spans="1:23">
      <c r="A62" s="57"/>
      <c r="B62" s="59" t="s">
        <v>289</v>
      </c>
      <c r="C62" s="105">
        <f>C61</f>
        <v>0</v>
      </c>
      <c r="D62" s="105">
        <f t="shared" ref="D62:R62" si="10">D61</f>
        <v>432151.26</v>
      </c>
      <c r="E62" s="105">
        <f>SCST_OS_22!C62+SCST_OS_22!E62</f>
        <v>546456</v>
      </c>
      <c r="F62" s="105">
        <f>SCST_OS_22!D62+SCST_OS_22!F62</f>
        <v>243553</v>
      </c>
      <c r="G62" s="105">
        <f t="shared" si="10"/>
        <v>11201</v>
      </c>
      <c r="H62" s="105">
        <f t="shared" si="10"/>
        <v>1268.6199999999999</v>
      </c>
      <c r="I62" s="105">
        <f>Minority_OS_20!O62</f>
        <v>58725</v>
      </c>
      <c r="J62" s="105">
        <f>Minority_OS_20!P62</f>
        <v>30179</v>
      </c>
      <c r="K62" s="105">
        <f t="shared" si="10"/>
        <v>0</v>
      </c>
      <c r="L62" s="105">
        <f t="shared" si="10"/>
        <v>0</v>
      </c>
      <c r="M62" s="105">
        <f t="shared" si="10"/>
        <v>0</v>
      </c>
      <c r="N62" s="105">
        <f t="shared" si="10"/>
        <v>0</v>
      </c>
      <c r="O62" s="105">
        <f t="shared" si="10"/>
        <v>0</v>
      </c>
      <c r="P62" s="105">
        <f t="shared" si="10"/>
        <v>0</v>
      </c>
      <c r="Q62" s="105">
        <f t="shared" si="10"/>
        <v>616382</v>
      </c>
      <c r="R62" s="105">
        <f t="shared" si="10"/>
        <v>707151.88</v>
      </c>
      <c r="S62" s="114">
        <f>R62*100/'CD Ratio_3(i)'!F62</f>
        <v>22.294099101996139</v>
      </c>
      <c r="U62" s="110">
        <v>265434.62</v>
      </c>
      <c r="W62" s="110">
        <f t="shared" si="6"/>
        <v>-441717.26</v>
      </c>
    </row>
    <row r="63" spans="1:23" s="107" customFormat="1">
      <c r="A63" s="294"/>
      <c r="B63" s="59" t="s">
        <v>290</v>
      </c>
      <c r="C63" s="105">
        <f>C62+C60+C56+C33</f>
        <v>1688727</v>
      </c>
      <c r="D63" s="105">
        <f t="shared" ref="D63:R63" si="11">D62+D60+D56+D33</f>
        <v>2624152.5600000005</v>
      </c>
      <c r="E63" s="105">
        <f>SCST_OS_22!C63+SCST_OS_22!E63</f>
        <v>1435839.17</v>
      </c>
      <c r="F63" s="105">
        <f>SCST_OS_22!D63+SCST_OS_22!F63</f>
        <v>1542853.98</v>
      </c>
      <c r="G63" s="105">
        <f t="shared" si="11"/>
        <v>82138</v>
      </c>
      <c r="H63" s="105">
        <f t="shared" si="11"/>
        <v>87502.059999999983</v>
      </c>
      <c r="I63" s="105">
        <f>Minority_OS_20!O63</f>
        <v>517364</v>
      </c>
      <c r="J63" s="105">
        <f>Minority_OS_20!P63</f>
        <v>862801.1399999999</v>
      </c>
      <c r="K63" s="105">
        <f t="shared" si="11"/>
        <v>42363</v>
      </c>
      <c r="L63" s="105">
        <f t="shared" si="11"/>
        <v>742.60000000000014</v>
      </c>
      <c r="M63" s="105">
        <f t="shared" si="11"/>
        <v>5975</v>
      </c>
      <c r="N63" s="105">
        <f t="shared" si="11"/>
        <v>1448.06</v>
      </c>
      <c r="O63" s="105">
        <f t="shared" si="11"/>
        <v>860868</v>
      </c>
      <c r="P63" s="105">
        <f t="shared" si="11"/>
        <v>472164.48</v>
      </c>
      <c r="Q63" s="105">
        <f t="shared" si="11"/>
        <v>4633274.17</v>
      </c>
      <c r="R63" s="105">
        <f t="shared" si="11"/>
        <v>5591664.8799999999</v>
      </c>
      <c r="S63" s="114">
        <f>R63*100/'CD Ratio_3(i)'!F63</f>
        <v>23.292428892293213</v>
      </c>
      <c r="U63" s="111">
        <v>4929878.3099999996</v>
      </c>
      <c r="W63" s="110">
        <f t="shared" si="6"/>
        <v>-661786.5700000003</v>
      </c>
    </row>
    <row r="65" spans="2:19">
      <c r="C65" s="110">
        <v>1631309</v>
      </c>
      <c r="D65" s="110">
        <v>2513372</v>
      </c>
      <c r="E65" s="110">
        <v>1366588</v>
      </c>
      <c r="F65" s="110">
        <v>1439181.19</v>
      </c>
      <c r="G65" s="110">
        <v>93640</v>
      </c>
      <c r="H65" s="110">
        <v>62828.33</v>
      </c>
      <c r="I65" s="110">
        <v>471575</v>
      </c>
      <c r="J65" s="110">
        <v>787996.92</v>
      </c>
      <c r="K65" s="110">
        <v>181952</v>
      </c>
      <c r="L65" s="110">
        <v>7881.29</v>
      </c>
      <c r="M65" s="110">
        <v>7000</v>
      </c>
      <c r="N65" s="110">
        <v>1471.4299999999998</v>
      </c>
      <c r="O65" s="110">
        <v>739926</v>
      </c>
      <c r="P65" s="110">
        <v>503370.23999999999</v>
      </c>
      <c r="Q65" s="110">
        <v>4451451</v>
      </c>
      <c r="R65" s="110">
        <v>5317137.5699999994</v>
      </c>
      <c r="S65" s="108">
        <v>23.959528647398624</v>
      </c>
    </row>
    <row r="66" spans="2:19">
      <c r="D66" s="108"/>
    </row>
    <row r="70" spans="2:19">
      <c r="B70" s="61" t="s">
        <v>754</v>
      </c>
      <c r="C70" s="346">
        <v>1631309</v>
      </c>
      <c r="D70" s="346">
        <v>2513372</v>
      </c>
      <c r="E70" s="346">
        <v>1366588</v>
      </c>
      <c r="F70" s="346">
        <v>1439181.19</v>
      </c>
      <c r="G70" s="346">
        <v>93640</v>
      </c>
      <c r="H70" s="346">
        <v>62828.33</v>
      </c>
      <c r="I70" s="346">
        <v>471575</v>
      </c>
      <c r="J70" s="346">
        <v>787996.92</v>
      </c>
      <c r="K70" s="346">
        <v>181952</v>
      </c>
      <c r="L70" s="346">
        <v>7881.29</v>
      </c>
      <c r="M70" s="346">
        <v>7000</v>
      </c>
      <c r="N70" s="346">
        <v>1471.4299999999998</v>
      </c>
      <c r="O70" s="346">
        <v>739926</v>
      </c>
      <c r="P70" s="346">
        <v>503370.23999999999</v>
      </c>
      <c r="Q70" s="346">
        <v>4451451</v>
      </c>
      <c r="R70" s="346">
        <v>5317137.5699999994</v>
      </c>
      <c r="S70" s="362">
        <v>22.148869178793724</v>
      </c>
    </row>
  </sheetData>
  <mergeCells count="12">
    <mergeCell ref="Q4:R4"/>
    <mergeCell ref="C3:S3"/>
    <mergeCell ref="A1:S1"/>
    <mergeCell ref="A3:A5"/>
    <mergeCell ref="B3:B5"/>
    <mergeCell ref="C4:D4"/>
    <mergeCell ref="E4:F4"/>
    <mergeCell ref="G4:H4"/>
    <mergeCell ref="I4:J4"/>
    <mergeCell ref="K4:L4"/>
    <mergeCell ref="M4:N4"/>
    <mergeCell ref="O4:P4"/>
  </mergeCells>
  <conditionalFormatting sqref="B6">
    <cfRule type="duplicateValues" dxfId="170" priority="5"/>
  </conditionalFormatting>
  <conditionalFormatting sqref="B22">
    <cfRule type="duplicateValues" dxfId="169" priority="6"/>
  </conditionalFormatting>
  <conditionalFormatting sqref="B33:B34 B26:B30">
    <cfRule type="duplicateValues" dxfId="168" priority="7"/>
  </conditionalFormatting>
  <conditionalFormatting sqref="B52">
    <cfRule type="duplicateValues" dxfId="167" priority="8"/>
  </conditionalFormatting>
  <conditionalFormatting sqref="B56">
    <cfRule type="duplicateValues" dxfId="166" priority="9"/>
  </conditionalFormatting>
  <conditionalFormatting sqref="B58">
    <cfRule type="duplicateValues" dxfId="165" priority="10"/>
  </conditionalFormatting>
  <conditionalFormatting sqref="C1:S1048576">
    <cfRule type="cellIs" dxfId="164" priority="4" stopIfTrue="1" operator="lessThan">
      <formula>0</formula>
    </cfRule>
  </conditionalFormatting>
  <conditionalFormatting sqref="S1:S1048576">
    <cfRule type="cellIs" dxfId="163" priority="3" stopIfTrue="1" operator="lessThan">
      <formula>10</formula>
    </cfRule>
  </conditionalFormatting>
  <conditionalFormatting sqref="W1:W1048576">
    <cfRule type="cellIs" dxfId="162" priority="1" operator="lessThan">
      <formula>0</formula>
    </cfRule>
    <cfRule type="cellIs" dxfId="161" priority="2" operator="greaterThan">
      <formula>0</formula>
    </cfRule>
  </conditionalFormatting>
  <pageMargins left="0.2" right="0.2" top="0.25" bottom="0.25" header="0.3" footer="0.3"/>
  <pageSetup paperSize="9" scale="57" orientation="portrait" r:id="rId1"/>
  <headerFooter>
    <oddFooter>&amp;CData Table, State Level Banker's Committee, M.P. as on 31.12.2016 Page No. 81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80"/>
  <sheetViews>
    <sheetView zoomScaleNormal="100" workbookViewId="0">
      <pane xSplit="2" ySplit="5" topLeftCell="K54" activePane="bottomRight" state="frozen"/>
      <selection pane="topRight" activeCell="C1" sqref="C1"/>
      <selection pane="bottomLeft" activeCell="A6" sqref="A6"/>
      <selection pane="bottomRight" activeCell="R76" sqref="R76"/>
    </sheetView>
  </sheetViews>
  <sheetFormatPr defaultColWidth="4.42578125" defaultRowHeight="13.5"/>
  <cols>
    <col min="1" max="1" width="4.42578125" style="110"/>
    <col min="2" max="2" width="22.5703125" style="110" customWidth="1"/>
    <col min="3" max="3" width="6.85546875" style="110" customWidth="1"/>
    <col min="4" max="4" width="10.28515625" style="110" customWidth="1"/>
    <col min="5" max="5" width="7.7109375" style="110" bestFit="1" customWidth="1"/>
    <col min="6" max="6" width="9" style="110" bestFit="1" customWidth="1"/>
    <col min="7" max="7" width="6.28515625" style="110" bestFit="1" customWidth="1"/>
    <col min="8" max="8" width="8.7109375" style="110" customWidth="1"/>
    <col min="9" max="9" width="6.140625" style="110" bestFit="1" customWidth="1"/>
    <col min="10" max="10" width="9.7109375" style="110" customWidth="1"/>
    <col min="11" max="11" width="7.28515625" style="110" bestFit="1" customWidth="1"/>
    <col min="12" max="12" width="9.42578125" style="110" customWidth="1"/>
    <col min="13" max="13" width="7.5703125" style="110" customWidth="1"/>
    <col min="14" max="14" width="10.42578125" style="110" customWidth="1"/>
    <col min="15" max="15" width="9.42578125" style="110" customWidth="1"/>
    <col min="16" max="16" width="10" style="110" customWidth="1"/>
    <col min="17" max="17" width="9.85546875" style="110" customWidth="1"/>
    <col min="18" max="18" width="10.140625" style="110" customWidth="1"/>
    <col min="19" max="19" width="10.5703125" style="110" customWidth="1"/>
    <col min="20" max="20" width="12.85546875" style="110" customWidth="1"/>
    <col min="21" max="21" width="12.7109375" style="110" bestFit="1" customWidth="1"/>
    <col min="22" max="22" width="14" style="110" bestFit="1" customWidth="1"/>
    <col min="23" max="25" width="9" style="110" customWidth="1"/>
    <col min="26" max="26" width="8.7109375" style="110" bestFit="1" customWidth="1"/>
    <col min="27" max="27" width="4.42578125" style="110" customWidth="1"/>
    <col min="28" max="28" width="8" style="110" bestFit="1" customWidth="1"/>
    <col min="29" max="32" width="4.42578125" style="110" customWidth="1"/>
    <col min="33" max="33" width="9.42578125" style="110" customWidth="1"/>
    <col min="34" max="16384" width="4.42578125" style="110"/>
  </cols>
  <sheetData>
    <row r="1" spans="1:26" ht="15.75">
      <c r="A1" s="601" t="s">
        <v>745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1"/>
      <c r="T1" s="601"/>
      <c r="U1" s="601"/>
      <c r="V1" s="601"/>
    </row>
    <row r="2" spans="1:26" ht="13.5" customHeight="1">
      <c r="A2" s="602" t="s">
        <v>120</v>
      </c>
      <c r="B2" s="602" t="s">
        <v>100</v>
      </c>
      <c r="C2" s="596" t="s">
        <v>752</v>
      </c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  <c r="Q2" s="597"/>
      <c r="R2" s="597"/>
      <c r="S2" s="597"/>
      <c r="T2" s="597"/>
      <c r="U2" s="597"/>
      <c r="V2" s="598"/>
    </row>
    <row r="3" spans="1:26" ht="15" customHeight="1">
      <c r="A3" s="602"/>
      <c r="B3" s="602"/>
      <c r="C3" s="603" t="s">
        <v>153</v>
      </c>
      <c r="D3" s="604"/>
      <c r="E3" s="595" t="s">
        <v>24</v>
      </c>
      <c r="F3" s="595"/>
      <c r="G3" s="595"/>
      <c r="H3" s="595"/>
      <c r="I3" s="595"/>
      <c r="J3" s="595"/>
      <c r="K3" s="595"/>
      <c r="L3" s="595"/>
      <c r="M3" s="595" t="s">
        <v>136</v>
      </c>
      <c r="N3" s="595"/>
      <c r="O3" s="604" t="s">
        <v>137</v>
      </c>
      <c r="P3" s="607"/>
      <c r="Q3" s="595" t="s">
        <v>154</v>
      </c>
      <c r="R3" s="595"/>
      <c r="S3" s="595" t="s">
        <v>131</v>
      </c>
      <c r="T3" s="595"/>
      <c r="U3" s="595" t="s">
        <v>155</v>
      </c>
      <c r="V3" s="595"/>
    </row>
    <row r="4" spans="1:26" ht="20.100000000000001" customHeight="1">
      <c r="A4" s="602"/>
      <c r="B4" s="602"/>
      <c r="C4" s="605"/>
      <c r="D4" s="606"/>
      <c r="E4" s="596" t="s">
        <v>127</v>
      </c>
      <c r="F4" s="598"/>
      <c r="G4" s="596" t="s">
        <v>128</v>
      </c>
      <c r="H4" s="598"/>
      <c r="I4" s="596" t="s">
        <v>129</v>
      </c>
      <c r="J4" s="598"/>
      <c r="K4" s="596" t="s">
        <v>156</v>
      </c>
      <c r="L4" s="597"/>
      <c r="M4" s="595"/>
      <c r="N4" s="595"/>
      <c r="O4" s="606"/>
      <c r="P4" s="608"/>
      <c r="Q4" s="595"/>
      <c r="R4" s="595"/>
      <c r="S4" s="595"/>
      <c r="T4" s="595"/>
      <c r="U4" s="595"/>
      <c r="V4" s="595"/>
    </row>
    <row r="5" spans="1:26" ht="15" customHeight="1">
      <c r="A5" s="602"/>
      <c r="B5" s="602"/>
      <c r="C5" s="352" t="s">
        <v>263</v>
      </c>
      <c r="D5" s="352" t="s">
        <v>262</v>
      </c>
      <c r="E5" s="352" t="s">
        <v>263</v>
      </c>
      <c r="F5" s="352" t="s">
        <v>262</v>
      </c>
      <c r="G5" s="352" t="s">
        <v>263</v>
      </c>
      <c r="H5" s="352" t="s">
        <v>262</v>
      </c>
      <c r="I5" s="352" t="s">
        <v>263</v>
      </c>
      <c r="J5" s="352" t="s">
        <v>262</v>
      </c>
      <c r="K5" s="352" t="s">
        <v>263</v>
      </c>
      <c r="L5" s="352" t="s">
        <v>262</v>
      </c>
      <c r="M5" s="352" t="s">
        <v>263</v>
      </c>
      <c r="N5" s="352" t="s">
        <v>262</v>
      </c>
      <c r="O5" s="352" t="s">
        <v>263</v>
      </c>
      <c r="P5" s="352" t="s">
        <v>262</v>
      </c>
      <c r="Q5" s="352" t="s">
        <v>263</v>
      </c>
      <c r="R5" s="352" t="s">
        <v>262</v>
      </c>
      <c r="S5" s="352" t="s">
        <v>263</v>
      </c>
      <c r="T5" s="352" t="s">
        <v>262</v>
      </c>
      <c r="U5" s="352" t="s">
        <v>263</v>
      </c>
      <c r="V5" s="352" t="s">
        <v>262</v>
      </c>
      <c r="W5" s="361" t="s">
        <v>265</v>
      </c>
      <c r="X5" s="361" t="s">
        <v>1</v>
      </c>
      <c r="Y5" s="361" t="s">
        <v>299</v>
      </c>
      <c r="Z5" s="361" t="s">
        <v>266</v>
      </c>
    </row>
    <row r="6" spans="1:26" ht="15" customHeight="1">
      <c r="A6" s="118">
        <v>1</v>
      </c>
      <c r="B6" s="98" t="s">
        <v>55</v>
      </c>
      <c r="C6" s="98">
        <v>0</v>
      </c>
      <c r="D6" s="98">
        <v>0</v>
      </c>
      <c r="E6" s="98">
        <v>4</v>
      </c>
      <c r="F6" s="98">
        <v>43</v>
      </c>
      <c r="G6" s="98">
        <v>8</v>
      </c>
      <c r="H6" s="98">
        <v>1849</v>
      </c>
      <c r="I6" s="98">
        <v>2</v>
      </c>
      <c r="J6" s="98">
        <v>1779</v>
      </c>
      <c r="K6" s="98">
        <v>14</v>
      </c>
      <c r="L6" s="98">
        <v>3671</v>
      </c>
      <c r="M6" s="98">
        <v>11</v>
      </c>
      <c r="N6" s="98">
        <v>121</v>
      </c>
      <c r="O6" s="98">
        <v>0</v>
      </c>
      <c r="P6" s="98">
        <v>0</v>
      </c>
      <c r="Q6" s="98">
        <v>3987</v>
      </c>
      <c r="R6" s="98">
        <v>2267</v>
      </c>
      <c r="S6" s="98">
        <v>12220</v>
      </c>
      <c r="T6" s="98">
        <v>252571</v>
      </c>
      <c r="U6" s="98">
        <f t="shared" ref="U6:U37" si="0">C6+K6+M6+O6+Q6+S6</f>
        <v>16232</v>
      </c>
      <c r="V6" s="98">
        <f t="shared" ref="V6:V37" si="1">T6+R6+P6+N6+L6+D6</f>
        <v>258630</v>
      </c>
      <c r="W6" s="110">
        <f>'Pri Sec_outstanding_6'!P6</f>
        <v>447917</v>
      </c>
      <c r="X6" s="110">
        <f>V6+W6</f>
        <v>706547</v>
      </c>
      <c r="Y6" s="110">
        <f>'CD Ratio_3(i)'!F6</f>
        <v>706547</v>
      </c>
      <c r="Z6" s="110">
        <f>X6-Y6</f>
        <v>0</v>
      </c>
    </row>
    <row r="7" spans="1:26" ht="15" customHeight="1">
      <c r="A7" s="118">
        <v>2</v>
      </c>
      <c r="B7" s="98" t="s">
        <v>56</v>
      </c>
      <c r="C7" s="98">
        <v>0</v>
      </c>
      <c r="D7" s="98">
        <v>0</v>
      </c>
      <c r="E7" s="98">
        <v>9</v>
      </c>
      <c r="F7" s="98">
        <v>1829.1</v>
      </c>
      <c r="G7" s="98">
        <v>0</v>
      </c>
      <c r="H7" s="98">
        <v>0</v>
      </c>
      <c r="I7" s="98">
        <v>0</v>
      </c>
      <c r="J7" s="98">
        <v>0</v>
      </c>
      <c r="K7" s="98">
        <v>9</v>
      </c>
      <c r="L7" s="98">
        <v>1829.1</v>
      </c>
      <c r="M7" s="98">
        <v>11</v>
      </c>
      <c r="N7" s="98">
        <v>223.42</v>
      </c>
      <c r="O7" s="98">
        <v>65</v>
      </c>
      <c r="P7" s="98">
        <v>3936.12</v>
      </c>
      <c r="Q7" s="98">
        <v>248</v>
      </c>
      <c r="R7" s="98">
        <v>389.19</v>
      </c>
      <c r="S7" s="98">
        <v>961</v>
      </c>
      <c r="T7" s="98">
        <v>30731.77</v>
      </c>
      <c r="U7" s="98">
        <f t="shared" si="0"/>
        <v>1294</v>
      </c>
      <c r="V7" s="98">
        <f t="shared" si="1"/>
        <v>37109.599999999999</v>
      </c>
      <c r="W7" s="110">
        <f>'Pri Sec_outstanding_6'!P7</f>
        <v>39332.47</v>
      </c>
      <c r="X7" s="110">
        <f t="shared" ref="X7:X63" si="2">V7+W7</f>
        <v>76442.070000000007</v>
      </c>
      <c r="Y7" s="110">
        <f>'CD Ratio_3(i)'!F7</f>
        <v>76442.070000000007</v>
      </c>
      <c r="Z7" s="110">
        <f t="shared" ref="Z7:Z63" si="3">X7-Y7</f>
        <v>0</v>
      </c>
    </row>
    <row r="8" spans="1:26" ht="15" customHeight="1">
      <c r="A8" s="118">
        <v>3</v>
      </c>
      <c r="B8" s="98" t="s">
        <v>57</v>
      </c>
      <c r="C8" s="98">
        <v>1</v>
      </c>
      <c r="D8" s="98">
        <v>1</v>
      </c>
      <c r="E8" s="98">
        <v>1</v>
      </c>
      <c r="F8" s="98">
        <v>1</v>
      </c>
      <c r="G8" s="98">
        <v>138</v>
      </c>
      <c r="H8" s="98">
        <v>15657</v>
      </c>
      <c r="I8" s="98">
        <v>198</v>
      </c>
      <c r="J8" s="98">
        <v>51623</v>
      </c>
      <c r="K8" s="98">
        <v>337</v>
      </c>
      <c r="L8" s="98">
        <v>67281</v>
      </c>
      <c r="M8" s="98">
        <v>128</v>
      </c>
      <c r="N8" s="98">
        <v>1723</v>
      </c>
      <c r="O8" s="98">
        <v>743</v>
      </c>
      <c r="P8" s="98">
        <v>31447</v>
      </c>
      <c r="Q8" s="98">
        <v>2315</v>
      </c>
      <c r="R8" s="98">
        <v>2736</v>
      </c>
      <c r="S8" s="98">
        <v>5940</v>
      </c>
      <c r="T8" s="98">
        <v>34799</v>
      </c>
      <c r="U8" s="98">
        <f t="shared" si="0"/>
        <v>9464</v>
      </c>
      <c r="V8" s="98">
        <f t="shared" si="1"/>
        <v>137987</v>
      </c>
      <c r="W8" s="110">
        <f>'Pri Sec_outstanding_6'!P8</f>
        <v>675116.17999999993</v>
      </c>
      <c r="X8" s="110">
        <f t="shared" si="2"/>
        <v>813103.17999999993</v>
      </c>
      <c r="Y8" s="110">
        <f>'CD Ratio_3(i)'!F8</f>
        <v>813103</v>
      </c>
      <c r="Z8" s="110">
        <f t="shared" si="3"/>
        <v>0.17999999993480742</v>
      </c>
    </row>
    <row r="9" spans="1:26" ht="15" customHeight="1">
      <c r="A9" s="118">
        <v>4</v>
      </c>
      <c r="B9" s="98" t="s">
        <v>58</v>
      </c>
      <c r="C9" s="98">
        <v>16979</v>
      </c>
      <c r="D9" s="98">
        <v>70938</v>
      </c>
      <c r="E9" s="98">
        <v>14</v>
      </c>
      <c r="F9" s="98">
        <v>3244</v>
      </c>
      <c r="G9" s="98">
        <v>58</v>
      </c>
      <c r="H9" s="98">
        <v>21381</v>
      </c>
      <c r="I9" s="98">
        <v>16</v>
      </c>
      <c r="J9" s="98">
        <v>13366</v>
      </c>
      <c r="K9" s="98">
        <v>88</v>
      </c>
      <c r="L9" s="98">
        <v>37991</v>
      </c>
      <c r="M9" s="98">
        <v>142</v>
      </c>
      <c r="N9" s="98">
        <v>207</v>
      </c>
      <c r="O9" s="98">
        <v>4714</v>
      </c>
      <c r="P9" s="98">
        <v>49231</v>
      </c>
      <c r="Q9" s="98">
        <v>5248</v>
      </c>
      <c r="R9" s="98">
        <v>14467</v>
      </c>
      <c r="S9" s="98">
        <v>59923</v>
      </c>
      <c r="T9" s="98">
        <v>329736</v>
      </c>
      <c r="U9" s="98">
        <f t="shared" si="0"/>
        <v>87094</v>
      </c>
      <c r="V9" s="98">
        <f t="shared" si="1"/>
        <v>502570</v>
      </c>
      <c r="W9" s="110">
        <f>'Pri Sec_outstanding_6'!P9</f>
        <v>1298219</v>
      </c>
      <c r="X9" s="110">
        <f t="shared" si="2"/>
        <v>1800789</v>
      </c>
      <c r="Y9" s="110">
        <f>'CD Ratio_3(i)'!F9</f>
        <v>1800789</v>
      </c>
      <c r="Z9" s="110">
        <f t="shared" si="3"/>
        <v>0</v>
      </c>
    </row>
    <row r="10" spans="1:26" ht="15" customHeight="1">
      <c r="A10" s="118">
        <v>5</v>
      </c>
      <c r="B10" s="98" t="s">
        <v>59</v>
      </c>
      <c r="C10" s="98">
        <v>1</v>
      </c>
      <c r="D10" s="98">
        <v>14749</v>
      </c>
      <c r="E10" s="98">
        <v>537</v>
      </c>
      <c r="F10" s="98">
        <v>3295.9</v>
      </c>
      <c r="G10" s="98">
        <v>24</v>
      </c>
      <c r="H10" s="98">
        <v>1573.8</v>
      </c>
      <c r="I10" s="98">
        <v>1</v>
      </c>
      <c r="J10" s="98">
        <v>71.959999999999994</v>
      </c>
      <c r="K10" s="98">
        <v>562</v>
      </c>
      <c r="L10" s="98">
        <v>4941.66</v>
      </c>
      <c r="M10" s="98">
        <v>55</v>
      </c>
      <c r="N10" s="98">
        <v>688.89</v>
      </c>
      <c r="O10" s="98">
        <v>581</v>
      </c>
      <c r="P10" s="98">
        <v>13520</v>
      </c>
      <c r="Q10" s="98">
        <v>5621</v>
      </c>
      <c r="R10" s="98">
        <v>16255</v>
      </c>
      <c r="S10" s="98">
        <v>1677</v>
      </c>
      <c r="T10" s="98">
        <f>34368-6425</f>
        <v>27943</v>
      </c>
      <c r="U10" s="98">
        <f t="shared" si="0"/>
        <v>8497</v>
      </c>
      <c r="V10" s="98">
        <f t="shared" si="1"/>
        <v>78097.55</v>
      </c>
      <c r="W10" s="110">
        <f>'Pri Sec_outstanding_6'!P10</f>
        <v>238051.23</v>
      </c>
      <c r="X10" s="110">
        <f t="shared" si="2"/>
        <v>316148.78000000003</v>
      </c>
      <c r="Y10" s="110">
        <f>'CD Ratio_3(i)'!F10</f>
        <v>316149</v>
      </c>
      <c r="Z10" s="110">
        <f t="shared" si="3"/>
        <v>-0.21999999997206032</v>
      </c>
    </row>
    <row r="11" spans="1:26" ht="15" customHeight="1">
      <c r="A11" s="118">
        <v>6</v>
      </c>
      <c r="B11" s="119" t="s">
        <v>241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f t="shared" si="0"/>
        <v>0</v>
      </c>
      <c r="V11" s="98">
        <f t="shared" si="1"/>
        <v>0</v>
      </c>
      <c r="W11" s="110">
        <f>'Pri Sec_outstanding_6'!P11</f>
        <v>686.92</v>
      </c>
      <c r="X11" s="110">
        <f t="shared" si="2"/>
        <v>686.92</v>
      </c>
      <c r="Y11" s="110">
        <f>'CD Ratio_3(i)'!F11</f>
        <v>687</v>
      </c>
      <c r="Z11" s="110">
        <f t="shared" si="3"/>
        <v>-8.0000000000040927E-2</v>
      </c>
    </row>
    <row r="12" spans="1:26" ht="15" customHeight="1">
      <c r="A12" s="118">
        <v>7</v>
      </c>
      <c r="B12" s="98" t="s">
        <v>60</v>
      </c>
      <c r="C12" s="98">
        <v>4</v>
      </c>
      <c r="D12" s="98">
        <v>2.7</v>
      </c>
      <c r="E12" s="98">
        <v>12</v>
      </c>
      <c r="F12" s="98">
        <v>651.05999999999995</v>
      </c>
      <c r="G12" s="98">
        <v>7</v>
      </c>
      <c r="H12" s="98">
        <v>49.45</v>
      </c>
      <c r="I12" s="98">
        <v>0</v>
      </c>
      <c r="J12" s="98">
        <v>0</v>
      </c>
      <c r="K12" s="98">
        <v>19</v>
      </c>
      <c r="L12" s="98">
        <v>700.51</v>
      </c>
      <c r="M12" s="98">
        <v>132</v>
      </c>
      <c r="N12" s="98">
        <v>878.39</v>
      </c>
      <c r="O12" s="98">
        <v>1338</v>
      </c>
      <c r="P12" s="98">
        <v>27937.66</v>
      </c>
      <c r="Q12" s="98">
        <v>12738</v>
      </c>
      <c r="R12" s="98">
        <v>80594.48</v>
      </c>
      <c r="S12" s="98">
        <v>1219</v>
      </c>
      <c r="T12" s="98">
        <v>22452.66</v>
      </c>
      <c r="U12" s="98">
        <f t="shared" si="0"/>
        <v>15450</v>
      </c>
      <c r="V12" s="98">
        <f t="shared" si="1"/>
        <v>132566.40000000002</v>
      </c>
      <c r="W12" s="110">
        <f>'Pri Sec_outstanding_6'!P12</f>
        <v>304249.56000000006</v>
      </c>
      <c r="X12" s="110">
        <f t="shared" si="2"/>
        <v>436815.96000000008</v>
      </c>
      <c r="Y12" s="110">
        <f>'CD Ratio_3(i)'!F12</f>
        <v>436815.9</v>
      </c>
      <c r="Z12" s="110">
        <f t="shared" si="3"/>
        <v>6.0000000055879354E-2</v>
      </c>
    </row>
    <row r="13" spans="1:26" ht="15" customHeight="1">
      <c r="A13" s="118">
        <v>8</v>
      </c>
      <c r="B13" s="98" t="s">
        <v>61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178</v>
      </c>
      <c r="N13" s="98">
        <v>3298</v>
      </c>
      <c r="O13" s="98">
        <v>263</v>
      </c>
      <c r="P13" s="98">
        <v>8809</v>
      </c>
      <c r="Q13" s="98">
        <v>10441</v>
      </c>
      <c r="R13" s="98">
        <v>13870</v>
      </c>
      <c r="S13" s="98">
        <v>165</v>
      </c>
      <c r="T13" s="98">
        <v>208820</v>
      </c>
      <c r="U13" s="98">
        <f t="shared" si="0"/>
        <v>11047</v>
      </c>
      <c r="V13" s="98">
        <f t="shared" si="1"/>
        <v>234797</v>
      </c>
      <c r="W13" s="110">
        <f>'Pri Sec_outstanding_6'!P13</f>
        <v>975212</v>
      </c>
      <c r="X13" s="110">
        <f t="shared" si="2"/>
        <v>1210009</v>
      </c>
      <c r="Y13" s="110">
        <f>'CD Ratio_3(i)'!F13</f>
        <v>1210009</v>
      </c>
      <c r="Z13" s="110">
        <f t="shared" si="3"/>
        <v>0</v>
      </c>
    </row>
    <row r="14" spans="1:26" ht="15" customHeight="1">
      <c r="A14" s="118">
        <v>9</v>
      </c>
      <c r="B14" s="116" t="s">
        <v>48</v>
      </c>
      <c r="C14" s="98">
        <v>0</v>
      </c>
      <c r="D14" s="98">
        <v>0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1253</v>
      </c>
      <c r="T14" s="98">
        <v>135701</v>
      </c>
      <c r="U14" s="98">
        <f t="shared" si="0"/>
        <v>1253</v>
      </c>
      <c r="V14" s="98">
        <f t="shared" si="1"/>
        <v>135701</v>
      </c>
      <c r="W14" s="110">
        <f>'Pri Sec_outstanding_6'!P14</f>
        <v>190875</v>
      </c>
      <c r="X14" s="110">
        <f t="shared" si="2"/>
        <v>326576</v>
      </c>
      <c r="Y14" s="110">
        <f>'CD Ratio_3(i)'!F14</f>
        <v>326576</v>
      </c>
      <c r="Z14" s="110">
        <f t="shared" si="3"/>
        <v>0</v>
      </c>
    </row>
    <row r="15" spans="1:26" ht="15" customHeight="1">
      <c r="A15" s="118">
        <v>10</v>
      </c>
      <c r="B15" s="116" t="s">
        <v>49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2</v>
      </c>
      <c r="J15" s="98">
        <v>358</v>
      </c>
      <c r="K15" s="98">
        <v>2</v>
      </c>
      <c r="L15" s="98">
        <v>358</v>
      </c>
      <c r="M15" s="98">
        <v>7</v>
      </c>
      <c r="N15" s="98">
        <v>112</v>
      </c>
      <c r="O15" s="98">
        <v>425</v>
      </c>
      <c r="P15" s="98">
        <v>7044</v>
      </c>
      <c r="Q15" s="98">
        <v>3209</v>
      </c>
      <c r="R15" s="98">
        <v>6595</v>
      </c>
      <c r="S15" s="98">
        <v>5099</v>
      </c>
      <c r="T15" s="98">
        <v>70435</v>
      </c>
      <c r="U15" s="98">
        <f t="shared" si="0"/>
        <v>8742</v>
      </c>
      <c r="V15" s="98">
        <f t="shared" si="1"/>
        <v>84544</v>
      </c>
      <c r="W15" s="110">
        <f>'Pri Sec_outstanding_6'!P15</f>
        <v>72090</v>
      </c>
      <c r="X15" s="110">
        <f t="shared" si="2"/>
        <v>156634</v>
      </c>
      <c r="Y15" s="110">
        <f>'CD Ratio_3(i)'!F15</f>
        <v>156634</v>
      </c>
      <c r="Z15" s="110">
        <f t="shared" si="3"/>
        <v>0</v>
      </c>
    </row>
    <row r="16" spans="1:26" ht="15" customHeight="1">
      <c r="A16" s="118">
        <v>11</v>
      </c>
      <c r="B16" s="116" t="s">
        <v>81</v>
      </c>
      <c r="C16" s="98">
        <v>0</v>
      </c>
      <c r="D16" s="98">
        <v>0</v>
      </c>
      <c r="E16" s="98">
        <v>4</v>
      </c>
      <c r="F16" s="98">
        <v>1958</v>
      </c>
      <c r="G16" s="98">
        <v>4</v>
      </c>
      <c r="H16" s="98">
        <v>1880</v>
      </c>
      <c r="I16" s="98">
        <v>154</v>
      </c>
      <c r="J16" s="98">
        <v>112520</v>
      </c>
      <c r="K16" s="98">
        <v>162</v>
      </c>
      <c r="L16" s="98">
        <v>116358</v>
      </c>
      <c r="M16" s="98">
        <v>8</v>
      </c>
      <c r="N16" s="98">
        <v>95</v>
      </c>
      <c r="O16" s="98">
        <v>586</v>
      </c>
      <c r="P16" s="98">
        <v>24154</v>
      </c>
      <c r="Q16" s="98">
        <v>3319</v>
      </c>
      <c r="R16" s="98">
        <v>21182</v>
      </c>
      <c r="S16" s="98">
        <v>766</v>
      </c>
      <c r="T16" s="98">
        <v>16119</v>
      </c>
      <c r="U16" s="98">
        <f t="shared" si="0"/>
        <v>4841</v>
      </c>
      <c r="V16" s="98">
        <f t="shared" si="1"/>
        <v>177908</v>
      </c>
      <c r="W16" s="110">
        <f>'Pri Sec_outstanding_6'!P16</f>
        <v>203278</v>
      </c>
      <c r="X16" s="110">
        <f t="shared" si="2"/>
        <v>381186</v>
      </c>
      <c r="Y16" s="110">
        <f>'CD Ratio_3(i)'!F16</f>
        <v>381186</v>
      </c>
      <c r="Z16" s="110">
        <f t="shared" si="3"/>
        <v>0</v>
      </c>
    </row>
    <row r="17" spans="1:26" ht="15" customHeight="1">
      <c r="A17" s="118">
        <v>12</v>
      </c>
      <c r="B17" s="116" t="s">
        <v>62</v>
      </c>
      <c r="C17" s="98">
        <v>0</v>
      </c>
      <c r="D17" s="98">
        <v>0</v>
      </c>
      <c r="E17" s="98">
        <v>1</v>
      </c>
      <c r="F17" s="98">
        <v>24</v>
      </c>
      <c r="G17" s="98">
        <v>0</v>
      </c>
      <c r="H17" s="98">
        <v>0</v>
      </c>
      <c r="I17" s="98">
        <v>0</v>
      </c>
      <c r="J17" s="98">
        <v>0</v>
      </c>
      <c r="K17" s="98">
        <v>1</v>
      </c>
      <c r="L17" s="98">
        <v>24</v>
      </c>
      <c r="M17" s="98">
        <v>0</v>
      </c>
      <c r="N17" s="98">
        <v>0</v>
      </c>
      <c r="O17" s="98">
        <v>0</v>
      </c>
      <c r="P17" s="98">
        <v>0</v>
      </c>
      <c r="Q17" s="98">
        <v>732</v>
      </c>
      <c r="R17" s="98">
        <v>2152.67</v>
      </c>
      <c r="S17" s="98">
        <v>798</v>
      </c>
      <c r="T17" s="98">
        <v>13295</v>
      </c>
      <c r="U17" s="98">
        <f t="shared" si="0"/>
        <v>1531</v>
      </c>
      <c r="V17" s="98">
        <f t="shared" si="1"/>
        <v>15471.67</v>
      </c>
      <c r="W17" s="110">
        <f>'Pri Sec_outstanding_6'!P17</f>
        <v>23047</v>
      </c>
      <c r="X17" s="110">
        <f t="shared" si="2"/>
        <v>38518.67</v>
      </c>
      <c r="Y17" s="110">
        <f>'CD Ratio_3(i)'!F17</f>
        <v>38518.67</v>
      </c>
      <c r="Z17" s="110">
        <f t="shared" si="3"/>
        <v>0</v>
      </c>
    </row>
    <row r="18" spans="1:26" ht="15" customHeight="1">
      <c r="A18" s="118">
        <v>13</v>
      </c>
      <c r="B18" s="116" t="s">
        <v>63</v>
      </c>
      <c r="C18" s="98">
        <v>1</v>
      </c>
      <c r="D18" s="98">
        <v>137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19</v>
      </c>
      <c r="P18" s="98">
        <v>1582</v>
      </c>
      <c r="Q18" s="98">
        <v>4619</v>
      </c>
      <c r="R18" s="98">
        <v>10316</v>
      </c>
      <c r="S18" s="98">
        <v>59</v>
      </c>
      <c r="T18" s="98">
        <v>33706</v>
      </c>
      <c r="U18" s="98">
        <f t="shared" si="0"/>
        <v>4698</v>
      </c>
      <c r="V18" s="98">
        <f t="shared" si="1"/>
        <v>45741</v>
      </c>
      <c r="W18" s="110">
        <f>'Pri Sec_outstanding_6'!P18</f>
        <v>57325</v>
      </c>
      <c r="X18" s="110">
        <f t="shared" si="2"/>
        <v>103066</v>
      </c>
      <c r="Y18" s="110">
        <f>'CD Ratio_3(i)'!F18</f>
        <v>103066</v>
      </c>
      <c r="Z18" s="110">
        <f t="shared" si="3"/>
        <v>0</v>
      </c>
    </row>
    <row r="19" spans="1:26" ht="15" customHeight="1">
      <c r="A19" s="118">
        <v>14</v>
      </c>
      <c r="B19" s="320" t="s">
        <v>206</v>
      </c>
      <c r="C19" s="98">
        <v>0</v>
      </c>
      <c r="D19" s="98">
        <v>0</v>
      </c>
      <c r="E19" s="98">
        <v>4</v>
      </c>
      <c r="F19" s="98">
        <v>1040.82</v>
      </c>
      <c r="G19" s="98">
        <v>2</v>
      </c>
      <c r="H19" s="98">
        <v>1466.42</v>
      </c>
      <c r="I19" s="98">
        <v>7</v>
      </c>
      <c r="J19" s="98">
        <v>2106.38</v>
      </c>
      <c r="K19" s="98">
        <v>13</v>
      </c>
      <c r="L19" s="98">
        <v>4613.62</v>
      </c>
      <c r="M19" s="98">
        <v>0</v>
      </c>
      <c r="N19" s="98">
        <v>0</v>
      </c>
      <c r="O19" s="98">
        <v>758</v>
      </c>
      <c r="P19" s="98">
        <v>10783.8</v>
      </c>
      <c r="Q19" s="98">
        <v>1503</v>
      </c>
      <c r="R19" s="98">
        <v>2031.48</v>
      </c>
      <c r="S19" s="98">
        <v>4860</v>
      </c>
      <c r="T19" s="98">
        <v>92201.07</v>
      </c>
      <c r="U19" s="98">
        <f t="shared" si="0"/>
        <v>7134</v>
      </c>
      <c r="V19" s="98">
        <f t="shared" si="1"/>
        <v>109629.97</v>
      </c>
      <c r="W19" s="110">
        <f>'Pri Sec_outstanding_6'!P19</f>
        <v>131155.84000000003</v>
      </c>
      <c r="X19" s="110">
        <f t="shared" si="2"/>
        <v>240785.81000000003</v>
      </c>
      <c r="Y19" s="110">
        <f>'CD Ratio_3(i)'!F19</f>
        <v>240785.74</v>
      </c>
      <c r="Z19" s="110">
        <f t="shared" si="3"/>
        <v>7.000000003608875E-2</v>
      </c>
    </row>
    <row r="20" spans="1:26" ht="15" customHeight="1">
      <c r="A20" s="118">
        <v>15</v>
      </c>
      <c r="B20" s="116" t="s">
        <v>207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13</v>
      </c>
      <c r="N20" s="98">
        <v>187.97</v>
      </c>
      <c r="O20" s="98">
        <v>224</v>
      </c>
      <c r="P20" s="98">
        <v>2823.14</v>
      </c>
      <c r="Q20" s="98">
        <v>353</v>
      </c>
      <c r="R20" s="98">
        <v>80.72</v>
      </c>
      <c r="S20" s="98">
        <v>1890</v>
      </c>
      <c r="T20" s="98">
        <v>6352.2</v>
      </c>
      <c r="U20" s="98">
        <f t="shared" si="0"/>
        <v>2480</v>
      </c>
      <c r="V20" s="98">
        <f t="shared" si="1"/>
        <v>9444.0299999999988</v>
      </c>
      <c r="W20" s="110">
        <f>'Pri Sec_outstanding_6'!P20</f>
        <v>58047.969999999994</v>
      </c>
      <c r="X20" s="110">
        <f t="shared" si="2"/>
        <v>67492</v>
      </c>
      <c r="Y20" s="110">
        <f>'CD Ratio_3(i)'!F20</f>
        <v>67492</v>
      </c>
      <c r="Z20" s="110">
        <f t="shared" si="3"/>
        <v>0</v>
      </c>
    </row>
    <row r="21" spans="1:26" ht="15" customHeight="1">
      <c r="A21" s="118">
        <v>16</v>
      </c>
      <c r="B21" s="116" t="s">
        <v>64</v>
      </c>
      <c r="C21" s="98">
        <v>6</v>
      </c>
      <c r="D21" s="98">
        <v>71652</v>
      </c>
      <c r="E21" s="98">
        <v>70</v>
      </c>
      <c r="F21" s="98">
        <v>8104</v>
      </c>
      <c r="G21" s="98">
        <v>37</v>
      </c>
      <c r="H21" s="98">
        <v>38192</v>
      </c>
      <c r="I21" s="98">
        <v>4</v>
      </c>
      <c r="J21" s="98">
        <v>6492</v>
      </c>
      <c r="K21" s="98">
        <v>111</v>
      </c>
      <c r="L21" s="98">
        <v>52788</v>
      </c>
      <c r="M21" s="98">
        <v>22</v>
      </c>
      <c r="N21" s="98">
        <v>1106</v>
      </c>
      <c r="O21" s="98">
        <v>2980</v>
      </c>
      <c r="P21" s="98">
        <v>76312</v>
      </c>
      <c r="Q21" s="98">
        <v>26059</v>
      </c>
      <c r="R21" s="98">
        <v>97079</v>
      </c>
      <c r="S21" s="98">
        <v>12424</v>
      </c>
      <c r="T21" s="98">
        <v>344718</v>
      </c>
      <c r="U21" s="98">
        <f t="shared" si="0"/>
        <v>41602</v>
      </c>
      <c r="V21" s="98">
        <f t="shared" si="1"/>
        <v>643655</v>
      </c>
      <c r="W21" s="110">
        <f>'Pri Sec_outstanding_6'!P21</f>
        <v>799910</v>
      </c>
      <c r="X21" s="110">
        <f t="shared" si="2"/>
        <v>1443565</v>
      </c>
      <c r="Y21" s="110">
        <f>'CD Ratio_3(i)'!F21</f>
        <v>1443565</v>
      </c>
      <c r="Z21" s="110">
        <f t="shared" si="3"/>
        <v>0</v>
      </c>
    </row>
    <row r="22" spans="1:26" ht="15" customHeight="1">
      <c r="A22" s="118">
        <v>17</v>
      </c>
      <c r="B22" s="115" t="s">
        <v>69</v>
      </c>
      <c r="C22" s="98">
        <v>0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98">
        <v>192</v>
      </c>
      <c r="P22" s="98">
        <v>4968.79</v>
      </c>
      <c r="Q22" s="98">
        <v>72</v>
      </c>
      <c r="R22" s="98">
        <v>809</v>
      </c>
      <c r="S22" s="98">
        <v>1014</v>
      </c>
      <c r="T22" s="98">
        <f>21364-6591</f>
        <v>14773</v>
      </c>
      <c r="U22" s="98">
        <f t="shared" si="0"/>
        <v>1278</v>
      </c>
      <c r="V22" s="98">
        <f t="shared" si="1"/>
        <v>20550.79</v>
      </c>
      <c r="W22" s="110">
        <f>'Pri Sec_outstanding_6'!P22</f>
        <v>4637.3799999999992</v>
      </c>
      <c r="X22" s="110">
        <f t="shared" si="2"/>
        <v>25188.17</v>
      </c>
      <c r="Y22" s="110">
        <f>'CD Ratio_3(i)'!F22</f>
        <v>25188</v>
      </c>
      <c r="Z22" s="110">
        <f t="shared" si="3"/>
        <v>0.16999999999825377</v>
      </c>
    </row>
    <row r="23" spans="1:26" ht="15" customHeight="1">
      <c r="A23" s="118">
        <v>18</v>
      </c>
      <c r="B23" s="116" t="s">
        <v>208</v>
      </c>
      <c r="C23" s="98">
        <v>0</v>
      </c>
      <c r="D23" s="98">
        <v>0</v>
      </c>
      <c r="E23" s="98">
        <v>15</v>
      </c>
      <c r="F23" s="98">
        <v>357</v>
      </c>
      <c r="G23" s="98">
        <v>0</v>
      </c>
      <c r="H23" s="98">
        <v>0</v>
      </c>
      <c r="I23" s="98">
        <v>0</v>
      </c>
      <c r="J23" s="98">
        <v>0</v>
      </c>
      <c r="K23" s="98">
        <v>15</v>
      </c>
      <c r="L23" s="98">
        <v>357</v>
      </c>
      <c r="M23" s="98">
        <v>0</v>
      </c>
      <c r="N23" s="98">
        <v>0</v>
      </c>
      <c r="O23" s="98">
        <v>24</v>
      </c>
      <c r="P23" s="98">
        <v>677</v>
      </c>
      <c r="Q23" s="98">
        <v>199</v>
      </c>
      <c r="R23" s="98">
        <v>646</v>
      </c>
      <c r="S23" s="98">
        <v>15</v>
      </c>
      <c r="T23" s="98">
        <f>9777+638</f>
        <v>10415</v>
      </c>
      <c r="U23" s="98">
        <f t="shared" si="0"/>
        <v>253</v>
      </c>
      <c r="V23" s="98">
        <f t="shared" si="1"/>
        <v>12095</v>
      </c>
      <c r="W23" s="110">
        <f>'Pri Sec_outstanding_6'!P23</f>
        <v>15819.800000000001</v>
      </c>
      <c r="X23" s="110">
        <f t="shared" si="2"/>
        <v>27914.800000000003</v>
      </c>
      <c r="Y23" s="110">
        <f>'CD Ratio_3(i)'!F23</f>
        <v>27915</v>
      </c>
      <c r="Z23" s="110">
        <f t="shared" si="3"/>
        <v>-0.19999999999708962</v>
      </c>
    </row>
    <row r="24" spans="1:26" ht="15" customHeight="1">
      <c r="A24" s="118">
        <v>19</v>
      </c>
      <c r="B24" s="117" t="s">
        <v>209</v>
      </c>
      <c r="C24" s="98">
        <v>0</v>
      </c>
      <c r="D24" s="98">
        <v>0</v>
      </c>
      <c r="E24" s="98">
        <v>30</v>
      </c>
      <c r="F24" s="98">
        <v>925</v>
      </c>
      <c r="G24" s="98">
        <v>1</v>
      </c>
      <c r="H24" s="98">
        <v>2</v>
      </c>
      <c r="I24" s="98">
        <v>1</v>
      </c>
      <c r="J24" s="98">
        <v>2</v>
      </c>
      <c r="K24" s="98">
        <v>32</v>
      </c>
      <c r="L24" s="98">
        <v>929</v>
      </c>
      <c r="M24" s="98">
        <v>2</v>
      </c>
      <c r="N24" s="98">
        <v>3.89</v>
      </c>
      <c r="O24" s="98">
        <v>175</v>
      </c>
      <c r="P24" s="98">
        <v>2223.46</v>
      </c>
      <c r="Q24" s="98">
        <v>58</v>
      </c>
      <c r="R24" s="98">
        <v>1541.79</v>
      </c>
      <c r="S24" s="98">
        <v>435</v>
      </c>
      <c r="T24" s="98">
        <v>49177.69</v>
      </c>
      <c r="U24" s="98">
        <f t="shared" si="0"/>
        <v>702</v>
      </c>
      <c r="V24" s="98">
        <f t="shared" si="1"/>
        <v>53875.83</v>
      </c>
      <c r="W24" s="110">
        <f>'Pri Sec_outstanding_6'!P24</f>
        <v>15553.169999999998</v>
      </c>
      <c r="X24" s="110">
        <f t="shared" si="2"/>
        <v>69429</v>
      </c>
      <c r="Y24" s="110">
        <f>'CD Ratio_3(i)'!F24</f>
        <v>69429</v>
      </c>
      <c r="Z24" s="110">
        <f t="shared" si="3"/>
        <v>0</v>
      </c>
    </row>
    <row r="25" spans="1:26" ht="15" customHeight="1">
      <c r="A25" s="118">
        <v>20</v>
      </c>
      <c r="B25" s="116" t="s">
        <v>210</v>
      </c>
      <c r="C25" s="98">
        <v>0</v>
      </c>
      <c r="D25" s="98">
        <v>0</v>
      </c>
      <c r="E25" s="98">
        <v>30</v>
      </c>
      <c r="F25" s="98">
        <v>103</v>
      </c>
      <c r="G25" s="98">
        <v>60</v>
      </c>
      <c r="H25" s="98">
        <v>1200</v>
      </c>
      <c r="I25" s="98">
        <v>35</v>
      </c>
      <c r="J25" s="98">
        <v>450</v>
      </c>
      <c r="K25" s="98">
        <v>125</v>
      </c>
      <c r="L25" s="98">
        <v>1753</v>
      </c>
      <c r="M25" s="98">
        <v>0</v>
      </c>
      <c r="N25" s="98">
        <v>0</v>
      </c>
      <c r="O25" s="98">
        <v>0</v>
      </c>
      <c r="P25" s="98">
        <v>0</v>
      </c>
      <c r="Q25" s="98">
        <v>0</v>
      </c>
      <c r="R25" s="98">
        <v>0</v>
      </c>
      <c r="S25" s="98">
        <v>0</v>
      </c>
      <c r="T25" s="98">
        <v>0</v>
      </c>
      <c r="U25" s="98">
        <f t="shared" si="0"/>
        <v>125</v>
      </c>
      <c r="V25" s="98">
        <f t="shared" si="1"/>
        <v>1753</v>
      </c>
      <c r="W25" s="110">
        <f>'Pri Sec_outstanding_6'!P25</f>
        <v>21663</v>
      </c>
      <c r="X25" s="110">
        <f t="shared" si="2"/>
        <v>23416</v>
      </c>
      <c r="Y25" s="110">
        <f>'CD Ratio_3(i)'!F25</f>
        <v>23416</v>
      </c>
      <c r="Z25" s="110">
        <f t="shared" si="3"/>
        <v>0</v>
      </c>
    </row>
    <row r="26" spans="1:26" ht="15" customHeight="1">
      <c r="A26" s="118">
        <v>21</v>
      </c>
      <c r="B26" s="116" t="s">
        <v>211</v>
      </c>
      <c r="C26" s="98">
        <v>0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98">
        <v>10</v>
      </c>
      <c r="J26" s="98">
        <f>34403-13920</f>
        <v>20483</v>
      </c>
      <c r="K26" s="98">
        <v>10</v>
      </c>
      <c r="L26" s="98">
        <f>34403-13920</f>
        <v>20483</v>
      </c>
      <c r="M26" s="98">
        <v>0</v>
      </c>
      <c r="N26" s="98">
        <v>0</v>
      </c>
      <c r="O26" s="98">
        <v>0</v>
      </c>
      <c r="P26" s="98">
        <v>0</v>
      </c>
      <c r="Q26" s="98">
        <v>194</v>
      </c>
      <c r="R26" s="98">
        <v>87</v>
      </c>
      <c r="S26" s="98">
        <v>1810</v>
      </c>
      <c r="T26" s="98">
        <v>2100</v>
      </c>
      <c r="U26" s="98">
        <f t="shared" si="0"/>
        <v>2014</v>
      </c>
      <c r="V26" s="98">
        <f t="shared" si="1"/>
        <v>22670</v>
      </c>
      <c r="W26" s="110">
        <f>'Pri Sec_outstanding_6'!P26</f>
        <v>7481</v>
      </c>
      <c r="X26" s="110">
        <f t="shared" si="2"/>
        <v>30151</v>
      </c>
      <c r="Y26" s="110">
        <f>'CD Ratio_3(i)'!F26</f>
        <v>30151</v>
      </c>
      <c r="Z26" s="110">
        <f t="shared" si="3"/>
        <v>0</v>
      </c>
    </row>
    <row r="27" spans="1:26" ht="15" customHeight="1">
      <c r="A27" s="118">
        <v>22</v>
      </c>
      <c r="B27" s="116" t="s">
        <v>70</v>
      </c>
      <c r="C27" s="98">
        <v>0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98">
        <v>0</v>
      </c>
      <c r="M27" s="98">
        <v>2046</v>
      </c>
      <c r="N27" s="98">
        <v>9776</v>
      </c>
      <c r="O27" s="98">
        <v>8270</v>
      </c>
      <c r="P27" s="98">
        <v>243225</v>
      </c>
      <c r="Q27" s="98">
        <v>987791</v>
      </c>
      <c r="R27" s="98">
        <v>813064</v>
      </c>
      <c r="S27" s="98">
        <v>125191</v>
      </c>
      <c r="T27" s="98">
        <f>2087828-51207-21254+21254</f>
        <v>2036621</v>
      </c>
      <c r="U27" s="98">
        <f t="shared" si="0"/>
        <v>1123298</v>
      </c>
      <c r="V27" s="98">
        <f t="shared" si="1"/>
        <v>3102686</v>
      </c>
      <c r="W27" s="110">
        <f>'Pri Sec_outstanding_6'!P27</f>
        <v>2638114</v>
      </c>
      <c r="X27" s="110">
        <f t="shared" si="2"/>
        <v>5740800</v>
      </c>
      <c r="Y27" s="110">
        <f>'CD Ratio_3(i)'!F27</f>
        <v>5740800</v>
      </c>
      <c r="Z27" s="110">
        <f t="shared" si="3"/>
        <v>0</v>
      </c>
    </row>
    <row r="28" spans="1:26" ht="15" customHeight="1">
      <c r="A28" s="118">
        <v>23</v>
      </c>
      <c r="B28" s="116" t="s">
        <v>65</v>
      </c>
      <c r="C28" s="98">
        <v>0</v>
      </c>
      <c r="D28" s="98">
        <v>0</v>
      </c>
      <c r="E28" s="98">
        <v>34</v>
      </c>
      <c r="F28" s="98">
        <v>84</v>
      </c>
      <c r="G28" s="98">
        <v>8</v>
      </c>
      <c r="H28" s="98">
        <v>1052</v>
      </c>
      <c r="I28" s="98">
        <v>5</v>
      </c>
      <c r="J28" s="98">
        <v>12843</v>
      </c>
      <c r="K28" s="98">
        <v>47</v>
      </c>
      <c r="L28" s="98">
        <v>13979</v>
      </c>
      <c r="M28" s="98">
        <v>7</v>
      </c>
      <c r="N28" s="98">
        <v>38</v>
      </c>
      <c r="O28" s="98">
        <v>167</v>
      </c>
      <c r="P28" s="98">
        <v>3505</v>
      </c>
      <c r="Q28" s="98">
        <v>5595</v>
      </c>
      <c r="R28" s="98">
        <v>7987</v>
      </c>
      <c r="S28" s="98">
        <v>10238</v>
      </c>
      <c r="T28" s="98">
        <v>61282</v>
      </c>
      <c r="U28" s="98">
        <f t="shared" si="0"/>
        <v>16054</v>
      </c>
      <c r="V28" s="98">
        <f t="shared" si="1"/>
        <v>86791</v>
      </c>
      <c r="W28" s="110">
        <f>'Pri Sec_outstanding_6'!P28</f>
        <v>70840</v>
      </c>
      <c r="X28" s="110">
        <f t="shared" si="2"/>
        <v>157631</v>
      </c>
      <c r="Y28" s="110">
        <f>'CD Ratio_3(i)'!F28</f>
        <v>157631</v>
      </c>
      <c r="Z28" s="110">
        <f t="shared" si="3"/>
        <v>0</v>
      </c>
    </row>
    <row r="29" spans="1:26" ht="15" customHeight="1">
      <c r="A29" s="118">
        <v>24</v>
      </c>
      <c r="B29" s="116" t="s">
        <v>212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51</v>
      </c>
      <c r="J29" s="98">
        <v>49500</v>
      </c>
      <c r="K29" s="98">
        <v>51</v>
      </c>
      <c r="L29" s="98">
        <v>49500</v>
      </c>
      <c r="M29" s="98">
        <v>467</v>
      </c>
      <c r="N29" s="98">
        <v>1285</v>
      </c>
      <c r="O29" s="98">
        <v>1824</v>
      </c>
      <c r="P29" s="98">
        <v>24084</v>
      </c>
      <c r="Q29" s="98">
        <v>4357</v>
      </c>
      <c r="R29" s="98">
        <v>4463</v>
      </c>
      <c r="S29" s="98">
        <v>3072</v>
      </c>
      <c r="T29" s="98">
        <v>69869.33</v>
      </c>
      <c r="U29" s="98">
        <f t="shared" si="0"/>
        <v>9771</v>
      </c>
      <c r="V29" s="98">
        <f t="shared" si="1"/>
        <v>149201.33000000002</v>
      </c>
      <c r="W29" s="110">
        <f>'Pri Sec_outstanding_6'!P29</f>
        <v>304155</v>
      </c>
      <c r="X29" s="110">
        <f t="shared" si="2"/>
        <v>453356.33</v>
      </c>
      <c r="Y29" s="110">
        <f>'CD Ratio_3(i)'!F29</f>
        <v>453356.33</v>
      </c>
      <c r="Z29" s="110">
        <f t="shared" si="3"/>
        <v>0</v>
      </c>
    </row>
    <row r="30" spans="1:26" ht="15" customHeight="1">
      <c r="A30" s="118">
        <v>25</v>
      </c>
      <c r="B30" s="116" t="s">
        <v>66</v>
      </c>
      <c r="C30" s="98">
        <v>0</v>
      </c>
      <c r="D30" s="98">
        <v>0</v>
      </c>
      <c r="E30" s="98">
        <v>0</v>
      </c>
      <c r="F30" s="98">
        <v>0</v>
      </c>
      <c r="G30" s="98">
        <v>42</v>
      </c>
      <c r="H30" s="98">
        <v>76</v>
      </c>
      <c r="I30" s="98">
        <v>8</v>
      </c>
      <c r="J30" s="98">
        <v>89300</v>
      </c>
      <c r="K30" s="98">
        <v>50</v>
      </c>
      <c r="L30" s="98">
        <v>89376</v>
      </c>
      <c r="M30" s="98">
        <v>265</v>
      </c>
      <c r="N30" s="98">
        <v>1873</v>
      </c>
      <c r="O30" s="98">
        <v>1795</v>
      </c>
      <c r="P30" s="98">
        <v>29385</v>
      </c>
      <c r="Q30" s="98">
        <v>13832</v>
      </c>
      <c r="R30" s="98">
        <v>33175</v>
      </c>
      <c r="S30" s="98">
        <v>7732</v>
      </c>
      <c r="T30" s="98">
        <v>167111.26999999999</v>
      </c>
      <c r="U30" s="98">
        <f t="shared" si="0"/>
        <v>23674</v>
      </c>
      <c r="V30" s="98">
        <f t="shared" si="1"/>
        <v>320920.27</v>
      </c>
      <c r="W30" s="110">
        <f>'Pri Sec_outstanding_6'!P30</f>
        <v>655204</v>
      </c>
      <c r="X30" s="110">
        <f t="shared" si="2"/>
        <v>976124.27</v>
      </c>
      <c r="Y30" s="110">
        <f>'CD Ratio_3(i)'!F30</f>
        <v>976124.27</v>
      </c>
      <c r="Z30" s="110">
        <f t="shared" si="3"/>
        <v>0</v>
      </c>
    </row>
    <row r="31" spans="1:26" ht="15" customHeight="1">
      <c r="A31" s="118">
        <v>26</v>
      </c>
      <c r="B31" s="121" t="s">
        <v>67</v>
      </c>
      <c r="C31" s="98">
        <v>0</v>
      </c>
      <c r="D31" s="98">
        <v>0</v>
      </c>
      <c r="E31" s="98">
        <v>2</v>
      </c>
      <c r="F31" s="98">
        <v>1</v>
      </c>
      <c r="G31" s="98">
        <v>1</v>
      </c>
      <c r="H31" s="98">
        <v>1998</v>
      </c>
      <c r="I31" s="98">
        <v>0</v>
      </c>
      <c r="J31" s="98">
        <v>0</v>
      </c>
      <c r="K31" s="98">
        <v>3</v>
      </c>
      <c r="L31" s="98">
        <v>1999</v>
      </c>
      <c r="M31" s="98">
        <v>2</v>
      </c>
      <c r="N31" s="98">
        <v>22</v>
      </c>
      <c r="O31" s="98">
        <v>30</v>
      </c>
      <c r="P31" s="98">
        <v>506</v>
      </c>
      <c r="Q31" s="98">
        <v>0</v>
      </c>
      <c r="R31" s="98">
        <v>0</v>
      </c>
      <c r="S31" s="98">
        <v>308</v>
      </c>
      <c r="T31" s="98">
        <v>14329</v>
      </c>
      <c r="U31" s="98">
        <f t="shared" si="0"/>
        <v>343</v>
      </c>
      <c r="V31" s="98">
        <f t="shared" si="1"/>
        <v>16856</v>
      </c>
      <c r="W31" s="110">
        <f>'Pri Sec_outstanding_6'!P31</f>
        <v>12051</v>
      </c>
      <c r="X31" s="110">
        <f t="shared" si="2"/>
        <v>28907</v>
      </c>
      <c r="Y31" s="110">
        <f>'CD Ratio_3(i)'!F31</f>
        <v>28907</v>
      </c>
      <c r="Z31" s="110">
        <f t="shared" si="3"/>
        <v>0</v>
      </c>
    </row>
    <row r="32" spans="1:26" ht="15" customHeight="1">
      <c r="A32" s="118">
        <v>27</v>
      </c>
      <c r="B32" s="116" t="s">
        <v>50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98">
        <v>2</v>
      </c>
      <c r="J32" s="98">
        <v>996.17</v>
      </c>
      <c r="K32" s="98">
        <v>2</v>
      </c>
      <c r="L32" s="98">
        <v>996.17</v>
      </c>
      <c r="M32" s="98">
        <v>0</v>
      </c>
      <c r="N32" s="98">
        <v>0</v>
      </c>
      <c r="O32" s="98">
        <v>0</v>
      </c>
      <c r="P32" s="98">
        <v>0</v>
      </c>
      <c r="Q32" s="98">
        <v>145</v>
      </c>
      <c r="R32" s="98">
        <v>1250</v>
      </c>
      <c r="S32" s="98">
        <v>2754</v>
      </c>
      <c r="T32" s="98">
        <v>18649.830000000002</v>
      </c>
      <c r="U32" s="98">
        <f t="shared" si="0"/>
        <v>2901</v>
      </c>
      <c r="V32" s="98">
        <f t="shared" si="1"/>
        <v>20896</v>
      </c>
      <c r="W32" s="110">
        <f>'Pri Sec_outstanding_6'!P32</f>
        <v>69552</v>
      </c>
      <c r="X32" s="110">
        <f t="shared" si="2"/>
        <v>90448</v>
      </c>
      <c r="Y32" s="110">
        <f>'CD Ratio_3(i)'!F32</f>
        <v>90448</v>
      </c>
      <c r="Z32" s="110">
        <f t="shared" si="3"/>
        <v>0</v>
      </c>
    </row>
    <row r="33" spans="1:26" s="111" customFormat="1" ht="15" customHeight="1">
      <c r="A33" s="352"/>
      <c r="B33" s="120" t="s">
        <v>286</v>
      </c>
      <c r="C33" s="105">
        <f>SUM(C6:C32)</f>
        <v>16992</v>
      </c>
      <c r="D33" s="105">
        <f t="shared" ref="D33:F33" si="4">SUM(D6:D32)</f>
        <v>157479.70000000001</v>
      </c>
      <c r="E33" s="105">
        <f t="shared" si="4"/>
        <v>767</v>
      </c>
      <c r="F33" s="105">
        <f t="shared" si="4"/>
        <v>21660.879999999997</v>
      </c>
      <c r="G33" s="105">
        <f>SUM(G6:G32)</f>
        <v>390</v>
      </c>
      <c r="H33" s="105">
        <f t="shared" ref="H33:T33" si="5">SUM(H6:H32)</f>
        <v>86376.67</v>
      </c>
      <c r="I33" s="105">
        <f t="shared" si="5"/>
        <v>496</v>
      </c>
      <c r="J33" s="105">
        <f t="shared" si="5"/>
        <v>361890.51</v>
      </c>
      <c r="K33" s="105">
        <f t="shared" si="5"/>
        <v>1653</v>
      </c>
      <c r="L33" s="105">
        <f t="shared" si="5"/>
        <v>469928.06</v>
      </c>
      <c r="M33" s="105">
        <f t="shared" si="5"/>
        <v>3496</v>
      </c>
      <c r="N33" s="105">
        <f t="shared" si="5"/>
        <v>21638.559999999998</v>
      </c>
      <c r="O33" s="105">
        <f t="shared" si="5"/>
        <v>25173</v>
      </c>
      <c r="P33" s="105">
        <f t="shared" si="5"/>
        <v>566153.97</v>
      </c>
      <c r="Q33" s="105">
        <f t="shared" si="5"/>
        <v>1092635</v>
      </c>
      <c r="R33" s="105">
        <f t="shared" si="5"/>
        <v>1133038.33</v>
      </c>
      <c r="S33" s="105">
        <f t="shared" si="5"/>
        <v>261823</v>
      </c>
      <c r="T33" s="105">
        <f t="shared" si="5"/>
        <v>4063908.8200000003</v>
      </c>
      <c r="U33" s="105">
        <f t="shared" si="0"/>
        <v>1401772</v>
      </c>
      <c r="V33" s="105">
        <f t="shared" si="1"/>
        <v>6412147.4399999995</v>
      </c>
      <c r="W33" s="110">
        <f>'Pri Sec_outstanding_6'!P33</f>
        <v>9329583.5199999996</v>
      </c>
      <c r="X33" s="110">
        <f t="shared" si="2"/>
        <v>15741730.959999999</v>
      </c>
      <c r="Y33" s="110">
        <f>'CD Ratio_3(i)'!F33</f>
        <v>15741730.98</v>
      </c>
      <c r="Z33" s="110">
        <f t="shared" si="3"/>
        <v>-2.0000001415610313E-2</v>
      </c>
    </row>
    <row r="34" spans="1:26" ht="15" customHeight="1">
      <c r="A34" s="118">
        <v>28</v>
      </c>
      <c r="B34" s="116" t="s">
        <v>47</v>
      </c>
      <c r="C34" s="98">
        <v>14</v>
      </c>
      <c r="D34" s="98">
        <v>1108.6600000000001</v>
      </c>
      <c r="E34" s="98">
        <v>166</v>
      </c>
      <c r="F34" s="98">
        <v>4396.8599999999997</v>
      </c>
      <c r="G34" s="98">
        <v>19</v>
      </c>
      <c r="H34" s="98">
        <v>519.54999999999995</v>
      </c>
      <c r="I34" s="98">
        <v>32</v>
      </c>
      <c r="J34" s="98">
        <v>15950.34</v>
      </c>
      <c r="K34" s="98">
        <v>217</v>
      </c>
      <c r="L34" s="98">
        <v>20866.75</v>
      </c>
      <c r="M34" s="98">
        <v>7</v>
      </c>
      <c r="N34" s="98">
        <v>130.18</v>
      </c>
      <c r="O34" s="98">
        <v>2326</v>
      </c>
      <c r="P34" s="98">
        <v>75219.05</v>
      </c>
      <c r="Q34" s="98">
        <v>6048</v>
      </c>
      <c r="R34" s="98">
        <v>48981.34</v>
      </c>
      <c r="S34" s="98">
        <v>22837</v>
      </c>
      <c r="T34" s="98">
        <v>153240.51999999999</v>
      </c>
      <c r="U34" s="98">
        <f t="shared" si="0"/>
        <v>31449</v>
      </c>
      <c r="V34" s="98">
        <f t="shared" si="1"/>
        <v>299546.49999999994</v>
      </c>
      <c r="W34" s="110">
        <f>'Pri Sec_outstanding_6'!P34</f>
        <v>329094</v>
      </c>
      <c r="X34" s="110">
        <f t="shared" si="2"/>
        <v>628640.5</v>
      </c>
      <c r="Y34" s="110">
        <f>'CD Ratio_3(i)'!F34</f>
        <v>628640.5</v>
      </c>
      <c r="Z34" s="110">
        <f t="shared" si="3"/>
        <v>0</v>
      </c>
    </row>
    <row r="35" spans="1:26" ht="15" customHeight="1">
      <c r="A35" s="118">
        <v>29</v>
      </c>
      <c r="B35" s="116" t="s">
        <v>214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  <c r="N35" s="98">
        <v>0</v>
      </c>
      <c r="O35" s="98">
        <v>0</v>
      </c>
      <c r="P35" s="98">
        <v>0</v>
      </c>
      <c r="Q35" s="98">
        <v>0</v>
      </c>
      <c r="R35" s="98">
        <v>0</v>
      </c>
      <c r="S35" s="98">
        <v>18648</v>
      </c>
      <c r="T35" s="98">
        <v>3279.41</v>
      </c>
      <c r="U35" s="98">
        <f t="shared" si="0"/>
        <v>18648</v>
      </c>
      <c r="V35" s="98">
        <f t="shared" si="1"/>
        <v>3279.41</v>
      </c>
      <c r="W35" s="110">
        <f>'Pri Sec_outstanding_6'!P35</f>
        <v>70791.41</v>
      </c>
      <c r="X35" s="110">
        <f t="shared" si="2"/>
        <v>74070.820000000007</v>
      </c>
      <c r="Y35" s="110">
        <f>'CD Ratio_3(i)'!F35</f>
        <v>74070.820000000007</v>
      </c>
      <c r="Z35" s="110">
        <f t="shared" si="3"/>
        <v>0</v>
      </c>
    </row>
    <row r="36" spans="1:26" ht="15" customHeight="1">
      <c r="A36" s="118">
        <v>30</v>
      </c>
      <c r="B36" s="98" t="s">
        <v>215</v>
      </c>
      <c r="C36" s="98">
        <v>0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8">
        <v>0</v>
      </c>
      <c r="K36" s="98">
        <v>0</v>
      </c>
      <c r="L36" s="98">
        <v>0</v>
      </c>
      <c r="M36" s="98">
        <v>0</v>
      </c>
      <c r="N36" s="98">
        <v>0</v>
      </c>
      <c r="O36" s="98">
        <v>0</v>
      </c>
      <c r="P36" s="98">
        <v>0</v>
      </c>
      <c r="Q36" s="98">
        <v>0</v>
      </c>
      <c r="R36" s="98">
        <v>0</v>
      </c>
      <c r="S36" s="98">
        <v>0</v>
      </c>
      <c r="T36" s="98">
        <v>0</v>
      </c>
      <c r="U36" s="98">
        <f t="shared" si="0"/>
        <v>0</v>
      </c>
      <c r="V36" s="98">
        <f t="shared" si="1"/>
        <v>0</v>
      </c>
      <c r="W36" s="110">
        <f>'Pri Sec_outstanding_6'!P36</f>
        <v>677.94</v>
      </c>
      <c r="X36" s="110">
        <f t="shared" si="2"/>
        <v>677.94</v>
      </c>
      <c r="Y36" s="110">
        <f>'CD Ratio_3(i)'!F36</f>
        <v>678.05</v>
      </c>
      <c r="Z36" s="110">
        <f t="shared" si="3"/>
        <v>-0.10999999999989996</v>
      </c>
    </row>
    <row r="37" spans="1:26" ht="15" customHeight="1">
      <c r="A37" s="118">
        <v>31</v>
      </c>
      <c r="B37" s="98" t="s">
        <v>78</v>
      </c>
      <c r="C37" s="98">
        <v>0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v>0</v>
      </c>
      <c r="O37" s="98">
        <v>0</v>
      </c>
      <c r="P37" s="98">
        <v>0</v>
      </c>
      <c r="Q37" s="98">
        <v>0</v>
      </c>
      <c r="R37" s="98">
        <v>0</v>
      </c>
      <c r="S37" s="98">
        <v>0</v>
      </c>
      <c r="T37" s="98">
        <v>0</v>
      </c>
      <c r="U37" s="98">
        <f t="shared" si="0"/>
        <v>0</v>
      </c>
      <c r="V37" s="98">
        <f t="shared" si="1"/>
        <v>0</v>
      </c>
      <c r="W37" s="110">
        <f>'Pri Sec_outstanding_6'!P37</f>
        <v>1</v>
      </c>
      <c r="X37" s="110">
        <f t="shared" si="2"/>
        <v>1</v>
      </c>
      <c r="Y37" s="110">
        <f>'CD Ratio_3(i)'!F37</f>
        <v>1</v>
      </c>
      <c r="Z37" s="110">
        <f t="shared" si="3"/>
        <v>0</v>
      </c>
    </row>
    <row r="38" spans="1:26" ht="15" customHeight="1">
      <c r="A38" s="118">
        <v>32</v>
      </c>
      <c r="B38" s="98" t="s">
        <v>51</v>
      </c>
      <c r="C38" s="98">
        <v>0</v>
      </c>
      <c r="D38" s="98">
        <v>0</v>
      </c>
      <c r="E38" s="98">
        <v>5</v>
      </c>
      <c r="F38" s="98">
        <v>78.05</v>
      </c>
      <c r="G38" s="98">
        <v>1</v>
      </c>
      <c r="H38" s="98">
        <v>49.61</v>
      </c>
      <c r="I38" s="98">
        <v>5</v>
      </c>
      <c r="J38" s="98">
        <v>923.65</v>
      </c>
      <c r="K38" s="98">
        <v>11</v>
      </c>
      <c r="L38" s="98">
        <v>1051.31</v>
      </c>
      <c r="M38" s="98">
        <v>1</v>
      </c>
      <c r="N38" s="98">
        <v>17.93</v>
      </c>
      <c r="O38" s="98">
        <v>15</v>
      </c>
      <c r="P38" s="98">
        <v>510.53</v>
      </c>
      <c r="Q38" s="98">
        <v>104</v>
      </c>
      <c r="R38" s="98">
        <v>172.44</v>
      </c>
      <c r="S38" s="98">
        <v>30</v>
      </c>
      <c r="T38" s="98">
        <v>2539.0300000000002</v>
      </c>
      <c r="U38" s="98">
        <f t="shared" ref="U38:U63" si="6">C38+K38+M38+O38+Q38+S38</f>
        <v>161</v>
      </c>
      <c r="V38" s="98">
        <f t="shared" ref="V38:V63" si="7">T38+R38+P38+N38+L38+D38</f>
        <v>4291.24</v>
      </c>
      <c r="W38" s="110">
        <f>'Pri Sec_outstanding_6'!P38</f>
        <v>5121.2899999999991</v>
      </c>
      <c r="X38" s="110">
        <f t="shared" si="2"/>
        <v>9412.5299999999988</v>
      </c>
      <c r="Y38" s="110">
        <f>'CD Ratio_3(i)'!F38</f>
        <v>9412.56</v>
      </c>
      <c r="Z38" s="110">
        <f t="shared" si="3"/>
        <v>-3.0000000000654836E-2</v>
      </c>
    </row>
    <row r="39" spans="1:26" ht="15" customHeight="1">
      <c r="A39" s="118">
        <v>33</v>
      </c>
      <c r="B39" s="98" t="s">
        <v>216</v>
      </c>
      <c r="C39" s="98">
        <v>44</v>
      </c>
      <c r="D39" s="98">
        <v>516.08000000000004</v>
      </c>
      <c r="E39" s="98">
        <v>0</v>
      </c>
      <c r="F39" s="98">
        <v>0</v>
      </c>
      <c r="G39" s="98">
        <v>80</v>
      </c>
      <c r="H39" s="98">
        <v>2183.0700000000002</v>
      </c>
      <c r="I39" s="98">
        <v>16</v>
      </c>
      <c r="J39" s="98">
        <v>267.8</v>
      </c>
      <c r="K39" s="98">
        <v>96</v>
      </c>
      <c r="L39" s="98">
        <v>2450.87</v>
      </c>
      <c r="M39" s="98">
        <v>0</v>
      </c>
      <c r="N39" s="98">
        <v>0</v>
      </c>
      <c r="O39" s="98">
        <v>70</v>
      </c>
      <c r="P39" s="98">
        <v>1354.32</v>
      </c>
      <c r="Q39" s="98">
        <v>1</v>
      </c>
      <c r="R39" s="98">
        <v>1.07</v>
      </c>
      <c r="S39" s="98">
        <v>731</v>
      </c>
      <c r="T39" s="98">
        <v>4239.8500000000004</v>
      </c>
      <c r="U39" s="98">
        <f t="shared" si="6"/>
        <v>942</v>
      </c>
      <c r="V39" s="98">
        <f t="shared" si="7"/>
        <v>8562.19</v>
      </c>
      <c r="W39" s="110">
        <f>'Pri Sec_outstanding_6'!P39</f>
        <v>47816</v>
      </c>
      <c r="X39" s="110">
        <f t="shared" si="2"/>
        <v>56378.19</v>
      </c>
      <c r="Y39" s="110">
        <f>'CD Ratio_3(i)'!F39</f>
        <v>56378.25</v>
      </c>
      <c r="Z39" s="110">
        <f t="shared" si="3"/>
        <v>-5.9999999997671694E-2</v>
      </c>
    </row>
    <row r="40" spans="1:26" ht="15" customHeight="1">
      <c r="A40" s="118">
        <v>34</v>
      </c>
      <c r="B40" s="116" t="s">
        <v>217</v>
      </c>
      <c r="C40" s="98">
        <v>0</v>
      </c>
      <c r="D40" s="98">
        <v>0</v>
      </c>
      <c r="E40" s="98">
        <v>0</v>
      </c>
      <c r="F40" s="98">
        <v>0</v>
      </c>
      <c r="G40" s="98">
        <v>0</v>
      </c>
      <c r="H40" s="98">
        <v>0</v>
      </c>
      <c r="I40" s="98">
        <v>0</v>
      </c>
      <c r="J40" s="98">
        <v>0</v>
      </c>
      <c r="K40" s="98">
        <v>0</v>
      </c>
      <c r="L40" s="98">
        <v>0</v>
      </c>
      <c r="M40" s="98">
        <v>0</v>
      </c>
      <c r="N40" s="98">
        <v>0</v>
      </c>
      <c r="O40" s="98">
        <v>0</v>
      </c>
      <c r="P40" s="98">
        <v>0</v>
      </c>
      <c r="Q40" s="98">
        <v>0</v>
      </c>
      <c r="R40" s="98">
        <v>0</v>
      </c>
      <c r="S40" s="98">
        <v>25</v>
      </c>
      <c r="T40" s="98">
        <v>41.06</v>
      </c>
      <c r="U40" s="98">
        <f t="shared" si="6"/>
        <v>25</v>
      </c>
      <c r="V40" s="98">
        <f t="shared" si="7"/>
        <v>41.06</v>
      </c>
      <c r="W40" s="110">
        <f>'Pri Sec_outstanding_6'!P40</f>
        <v>0</v>
      </c>
      <c r="X40" s="110">
        <f t="shared" si="2"/>
        <v>41.06</v>
      </c>
      <c r="Y40" s="110">
        <f>'CD Ratio_3(i)'!F40</f>
        <v>41.06</v>
      </c>
      <c r="Z40" s="110">
        <f t="shared" si="3"/>
        <v>0</v>
      </c>
    </row>
    <row r="41" spans="1:26" ht="15" customHeight="1">
      <c r="A41" s="118">
        <v>35</v>
      </c>
      <c r="B41" s="116" t="s">
        <v>218</v>
      </c>
      <c r="C41" s="98">
        <v>0</v>
      </c>
      <c r="D41" s="98">
        <v>0</v>
      </c>
      <c r="E41" s="98">
        <v>0</v>
      </c>
      <c r="F41" s="98">
        <v>0</v>
      </c>
      <c r="G41" s="98">
        <v>1</v>
      </c>
      <c r="H41" s="98">
        <v>694</v>
      </c>
      <c r="I41" s="98">
        <v>0</v>
      </c>
      <c r="J41" s="98">
        <v>0</v>
      </c>
      <c r="K41" s="98">
        <v>1</v>
      </c>
      <c r="L41" s="98">
        <v>694</v>
      </c>
      <c r="M41" s="98">
        <v>0</v>
      </c>
      <c r="N41" s="98">
        <v>0</v>
      </c>
      <c r="O41" s="98">
        <v>42</v>
      </c>
      <c r="P41" s="98">
        <v>932</v>
      </c>
      <c r="Q41" s="98">
        <v>28</v>
      </c>
      <c r="R41" s="98">
        <v>61</v>
      </c>
      <c r="S41" s="98">
        <v>2517</v>
      </c>
      <c r="T41" s="98">
        <v>6253</v>
      </c>
      <c r="U41" s="98">
        <f t="shared" si="6"/>
        <v>2588</v>
      </c>
      <c r="V41" s="98">
        <f t="shared" si="7"/>
        <v>7940</v>
      </c>
      <c r="W41" s="110">
        <f>'Pri Sec_outstanding_6'!P41</f>
        <v>10424</v>
      </c>
      <c r="X41" s="110">
        <f t="shared" si="2"/>
        <v>18364</v>
      </c>
      <c r="Y41" s="110">
        <f>'CD Ratio_3(i)'!F41</f>
        <v>18364</v>
      </c>
      <c r="Z41" s="110">
        <f t="shared" si="3"/>
        <v>0</v>
      </c>
    </row>
    <row r="42" spans="1:26" ht="15" customHeight="1">
      <c r="A42" s="118">
        <v>36</v>
      </c>
      <c r="B42" s="116" t="s">
        <v>71</v>
      </c>
      <c r="C42" s="98">
        <v>0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8">
        <v>0</v>
      </c>
      <c r="K42" s="98">
        <v>0</v>
      </c>
      <c r="L42" s="98">
        <v>0</v>
      </c>
      <c r="M42" s="98">
        <v>8</v>
      </c>
      <c r="N42" s="98">
        <v>42</v>
      </c>
      <c r="O42" s="98">
        <v>984</v>
      </c>
      <c r="P42" s="98">
        <v>22960</v>
      </c>
      <c r="Q42" s="98">
        <v>33763</v>
      </c>
      <c r="R42" s="98">
        <v>68307</v>
      </c>
      <c r="S42" s="98">
        <v>253025</v>
      </c>
      <c r="T42" s="98">
        <v>466102</v>
      </c>
      <c r="U42" s="98">
        <f t="shared" si="6"/>
        <v>287780</v>
      </c>
      <c r="V42" s="98">
        <f t="shared" si="7"/>
        <v>557411</v>
      </c>
      <c r="W42" s="110">
        <f>'Pri Sec_outstanding_6'!P42</f>
        <v>754049</v>
      </c>
      <c r="X42" s="110">
        <f t="shared" si="2"/>
        <v>1311460</v>
      </c>
      <c r="Y42" s="110">
        <f>'CD Ratio_3(i)'!F42</f>
        <v>1311460</v>
      </c>
      <c r="Z42" s="110">
        <f t="shared" si="3"/>
        <v>0</v>
      </c>
    </row>
    <row r="43" spans="1:26" ht="15" customHeight="1">
      <c r="A43" s="118">
        <v>37</v>
      </c>
      <c r="B43" s="116" t="s">
        <v>72</v>
      </c>
      <c r="C43" s="98">
        <v>0</v>
      </c>
      <c r="D43" s="98">
        <v>0</v>
      </c>
      <c r="E43" s="98">
        <v>4002</v>
      </c>
      <c r="F43" s="98">
        <v>1856</v>
      </c>
      <c r="G43" s="98">
        <v>23</v>
      </c>
      <c r="H43" s="98">
        <v>2460</v>
      </c>
      <c r="I43" s="98">
        <v>44</v>
      </c>
      <c r="J43" s="98">
        <v>6185</v>
      </c>
      <c r="K43" s="98">
        <v>4069</v>
      </c>
      <c r="L43" s="98">
        <v>10501</v>
      </c>
      <c r="M43" s="98">
        <v>0</v>
      </c>
      <c r="N43" s="98">
        <v>0</v>
      </c>
      <c r="O43" s="98">
        <v>3822</v>
      </c>
      <c r="P43" s="98">
        <v>83179</v>
      </c>
      <c r="Q43" s="98">
        <v>0</v>
      </c>
      <c r="R43" s="98">
        <v>0</v>
      </c>
      <c r="S43" s="98">
        <v>52403</v>
      </c>
      <c r="T43" s="98">
        <f>440658-494</f>
        <v>440164</v>
      </c>
      <c r="U43" s="98">
        <f t="shared" si="6"/>
        <v>60294</v>
      </c>
      <c r="V43" s="98">
        <f t="shared" si="7"/>
        <v>533844</v>
      </c>
      <c r="W43" s="110">
        <f>'Pri Sec_outstanding_6'!P43</f>
        <v>577886</v>
      </c>
      <c r="X43" s="110">
        <f t="shared" si="2"/>
        <v>1111730</v>
      </c>
      <c r="Y43" s="110">
        <f>'CD Ratio_3(i)'!F43</f>
        <v>1111730</v>
      </c>
      <c r="Z43" s="110">
        <f t="shared" si="3"/>
        <v>0</v>
      </c>
    </row>
    <row r="44" spans="1:26" ht="15" customHeight="1">
      <c r="A44" s="118">
        <v>38</v>
      </c>
      <c r="B44" s="116" t="s">
        <v>219</v>
      </c>
      <c r="C44" s="98">
        <v>0</v>
      </c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  <c r="J44" s="98">
        <v>0</v>
      </c>
      <c r="K44" s="98">
        <v>0</v>
      </c>
      <c r="L44" s="98">
        <v>0</v>
      </c>
      <c r="M44" s="98">
        <v>0</v>
      </c>
      <c r="N44" s="98">
        <v>0</v>
      </c>
      <c r="O44" s="98">
        <v>0</v>
      </c>
      <c r="P44" s="98">
        <v>0</v>
      </c>
      <c r="Q44" s="98">
        <v>0</v>
      </c>
      <c r="R44" s="98">
        <v>0</v>
      </c>
      <c r="S44" s="98">
        <v>2799</v>
      </c>
      <c r="T44" s="98">
        <v>1017</v>
      </c>
      <c r="U44" s="98">
        <f t="shared" si="6"/>
        <v>2799</v>
      </c>
      <c r="V44" s="98">
        <f t="shared" si="7"/>
        <v>1017</v>
      </c>
      <c r="W44" s="110">
        <f>'Pri Sec_outstanding_6'!P44</f>
        <v>17873</v>
      </c>
      <c r="X44" s="110">
        <f t="shared" si="2"/>
        <v>18890</v>
      </c>
      <c r="Y44" s="110">
        <f>'CD Ratio_3(i)'!F44</f>
        <v>18890</v>
      </c>
      <c r="Z44" s="110">
        <f t="shared" si="3"/>
        <v>0</v>
      </c>
    </row>
    <row r="45" spans="1:26" ht="15" customHeight="1">
      <c r="A45" s="118">
        <v>39</v>
      </c>
      <c r="B45" s="116" t="s">
        <v>220</v>
      </c>
      <c r="C45" s="98">
        <v>0</v>
      </c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98</v>
      </c>
      <c r="J45" s="98">
        <v>7517</v>
      </c>
      <c r="K45" s="98">
        <v>98</v>
      </c>
      <c r="L45" s="98">
        <v>7517</v>
      </c>
      <c r="M45" s="98">
        <v>0</v>
      </c>
      <c r="N45" s="98">
        <v>0</v>
      </c>
      <c r="O45" s="98">
        <v>1</v>
      </c>
      <c r="P45" s="98">
        <v>1</v>
      </c>
      <c r="Q45" s="98">
        <v>0</v>
      </c>
      <c r="R45" s="98">
        <v>0</v>
      </c>
      <c r="S45" s="98">
        <v>59838</v>
      </c>
      <c r="T45" s="98">
        <v>118682.6</v>
      </c>
      <c r="U45" s="98">
        <f t="shared" si="6"/>
        <v>59937</v>
      </c>
      <c r="V45" s="98">
        <f t="shared" si="7"/>
        <v>126200.6</v>
      </c>
      <c r="W45" s="110">
        <f>'Pri Sec_outstanding_6'!P45</f>
        <v>164199.4</v>
      </c>
      <c r="X45" s="110">
        <f t="shared" si="2"/>
        <v>290400</v>
      </c>
      <c r="Y45" s="110">
        <f>'CD Ratio_3(i)'!F45</f>
        <v>290400</v>
      </c>
      <c r="Z45" s="110">
        <f t="shared" si="3"/>
        <v>0</v>
      </c>
    </row>
    <row r="46" spans="1:26" ht="15" customHeight="1">
      <c r="A46" s="118">
        <v>40</v>
      </c>
      <c r="B46" s="116" t="s">
        <v>221</v>
      </c>
      <c r="C46" s="98">
        <v>0</v>
      </c>
      <c r="D46" s="98">
        <v>0</v>
      </c>
      <c r="E46" s="98">
        <v>110</v>
      </c>
      <c r="F46" s="98">
        <v>479</v>
      </c>
      <c r="G46" s="98">
        <v>0</v>
      </c>
      <c r="H46" s="98">
        <v>0</v>
      </c>
      <c r="I46" s="98">
        <v>0</v>
      </c>
      <c r="J46" s="98">
        <v>0</v>
      </c>
      <c r="K46" s="98">
        <v>110</v>
      </c>
      <c r="L46" s="98">
        <v>479</v>
      </c>
      <c r="M46" s="98">
        <v>17</v>
      </c>
      <c r="N46" s="98">
        <v>240</v>
      </c>
      <c r="O46" s="98">
        <v>0</v>
      </c>
      <c r="P46" s="98">
        <v>0</v>
      </c>
      <c r="Q46" s="98">
        <v>56</v>
      </c>
      <c r="R46" s="98">
        <v>458</v>
      </c>
      <c r="S46" s="98">
        <v>0</v>
      </c>
      <c r="T46" s="98">
        <v>0</v>
      </c>
      <c r="U46" s="98">
        <f t="shared" si="6"/>
        <v>183</v>
      </c>
      <c r="V46" s="98">
        <f t="shared" si="7"/>
        <v>1177</v>
      </c>
      <c r="W46" s="110">
        <f>'Pri Sec_outstanding_6'!P46</f>
        <v>2047</v>
      </c>
      <c r="X46" s="110">
        <f t="shared" si="2"/>
        <v>3224</v>
      </c>
      <c r="Y46" s="110">
        <f>'CD Ratio_3(i)'!F46</f>
        <v>3224</v>
      </c>
      <c r="Z46" s="110">
        <f t="shared" si="3"/>
        <v>0</v>
      </c>
    </row>
    <row r="47" spans="1:26" ht="15" customHeight="1">
      <c r="A47" s="118">
        <v>41</v>
      </c>
      <c r="B47" s="116" t="s">
        <v>222</v>
      </c>
      <c r="C47" s="98">
        <v>0</v>
      </c>
      <c r="D47" s="98">
        <v>0</v>
      </c>
      <c r="E47" s="98">
        <v>0</v>
      </c>
      <c r="F47" s="98">
        <v>0</v>
      </c>
      <c r="G47" s="98">
        <v>20</v>
      </c>
      <c r="H47" s="98">
        <v>392.3</v>
      </c>
      <c r="I47" s="98">
        <v>11</v>
      </c>
      <c r="J47" s="98">
        <v>2621.0100000000002</v>
      </c>
      <c r="K47" s="98">
        <v>31</v>
      </c>
      <c r="L47" s="98">
        <v>3013.31</v>
      </c>
      <c r="M47" s="98">
        <v>0</v>
      </c>
      <c r="N47" s="98">
        <v>0</v>
      </c>
      <c r="O47" s="98">
        <v>43</v>
      </c>
      <c r="P47" s="98">
        <v>1413.46</v>
      </c>
      <c r="Q47" s="98">
        <v>48</v>
      </c>
      <c r="R47" s="98">
        <v>239.44</v>
      </c>
      <c r="S47" s="98">
        <v>646</v>
      </c>
      <c r="T47" s="98">
        <v>5964.31</v>
      </c>
      <c r="U47" s="98">
        <f t="shared" si="6"/>
        <v>768</v>
      </c>
      <c r="V47" s="98">
        <f t="shared" si="7"/>
        <v>10630.52</v>
      </c>
      <c r="W47" s="110">
        <f>'Pri Sec_outstanding_6'!P47</f>
        <v>24855.480000000003</v>
      </c>
      <c r="X47" s="110">
        <f t="shared" si="2"/>
        <v>35486</v>
      </c>
      <c r="Y47" s="110">
        <f>'CD Ratio_3(i)'!F47</f>
        <v>35486</v>
      </c>
      <c r="Z47" s="110">
        <f t="shared" si="3"/>
        <v>0</v>
      </c>
    </row>
    <row r="48" spans="1:26" ht="15" customHeight="1">
      <c r="A48" s="118">
        <v>42</v>
      </c>
      <c r="B48" s="116" t="s">
        <v>223</v>
      </c>
      <c r="C48" s="98">
        <v>0</v>
      </c>
      <c r="D48" s="98">
        <v>0</v>
      </c>
      <c r="E48" s="98">
        <v>0</v>
      </c>
      <c r="F48" s="98">
        <v>0</v>
      </c>
      <c r="G48" s="98">
        <v>0</v>
      </c>
      <c r="H48" s="98">
        <v>0</v>
      </c>
      <c r="I48" s="98">
        <v>0</v>
      </c>
      <c r="J48" s="98">
        <v>0</v>
      </c>
      <c r="K48" s="98">
        <v>0</v>
      </c>
      <c r="L48" s="98">
        <v>0</v>
      </c>
      <c r="M48" s="98">
        <v>0</v>
      </c>
      <c r="N48" s="98">
        <v>0</v>
      </c>
      <c r="O48" s="98">
        <v>0</v>
      </c>
      <c r="P48" s="98">
        <v>0</v>
      </c>
      <c r="Q48" s="98">
        <v>0</v>
      </c>
      <c r="R48" s="98">
        <v>0</v>
      </c>
      <c r="S48" s="98">
        <v>0</v>
      </c>
      <c r="T48" s="98">
        <v>0</v>
      </c>
      <c r="U48" s="98">
        <f t="shared" si="6"/>
        <v>0</v>
      </c>
      <c r="V48" s="98">
        <f t="shared" si="7"/>
        <v>0</v>
      </c>
      <c r="W48" s="110">
        <f>'Pri Sec_outstanding_6'!P48</f>
        <v>15667</v>
      </c>
      <c r="X48" s="110">
        <f t="shared" si="2"/>
        <v>15667</v>
      </c>
      <c r="Y48" s="110">
        <f>'CD Ratio_3(i)'!F48</f>
        <v>15667</v>
      </c>
      <c r="Z48" s="110">
        <f t="shared" si="3"/>
        <v>0</v>
      </c>
    </row>
    <row r="49" spans="1:26" ht="15" customHeight="1">
      <c r="A49" s="118">
        <v>43</v>
      </c>
      <c r="B49" s="122" t="s">
        <v>73</v>
      </c>
      <c r="C49" s="98">
        <v>0</v>
      </c>
      <c r="D49" s="98">
        <v>0</v>
      </c>
      <c r="E49" s="98">
        <v>0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98">
        <v>0</v>
      </c>
      <c r="N49" s="98">
        <v>0</v>
      </c>
      <c r="O49" s="98">
        <v>0</v>
      </c>
      <c r="P49" s="98">
        <v>0</v>
      </c>
      <c r="Q49" s="98">
        <v>0</v>
      </c>
      <c r="R49" s="98">
        <v>0</v>
      </c>
      <c r="S49" s="98">
        <v>5523</v>
      </c>
      <c r="T49" s="98">
        <v>64882</v>
      </c>
      <c r="U49" s="98">
        <f t="shared" si="6"/>
        <v>5523</v>
      </c>
      <c r="V49" s="98">
        <f t="shared" si="7"/>
        <v>64882</v>
      </c>
      <c r="W49" s="110">
        <f>'Pri Sec_outstanding_6'!P49</f>
        <v>166717</v>
      </c>
      <c r="X49" s="110">
        <f t="shared" si="2"/>
        <v>231599</v>
      </c>
      <c r="Y49" s="110">
        <f>'CD Ratio_3(i)'!F49</f>
        <v>231599</v>
      </c>
      <c r="Z49" s="110">
        <f t="shared" si="3"/>
        <v>0</v>
      </c>
    </row>
    <row r="50" spans="1:26" ht="15" customHeight="1">
      <c r="A50" s="118">
        <v>44</v>
      </c>
      <c r="B50" s="116" t="s">
        <v>224</v>
      </c>
      <c r="C50" s="98">
        <v>0</v>
      </c>
      <c r="D50" s="98">
        <v>0</v>
      </c>
      <c r="E50" s="98">
        <v>0</v>
      </c>
      <c r="F50" s="98">
        <v>0</v>
      </c>
      <c r="G50" s="98">
        <v>0</v>
      </c>
      <c r="H50" s="98">
        <v>0</v>
      </c>
      <c r="I50" s="98">
        <v>0</v>
      </c>
      <c r="J50" s="98">
        <v>0</v>
      </c>
      <c r="K50" s="98">
        <v>0</v>
      </c>
      <c r="L50" s="98">
        <v>0</v>
      </c>
      <c r="M50" s="98">
        <v>0</v>
      </c>
      <c r="N50" s="98">
        <v>0</v>
      </c>
      <c r="O50" s="98">
        <v>1</v>
      </c>
      <c r="P50" s="98">
        <v>31.17</v>
      </c>
      <c r="Q50" s="98">
        <v>0</v>
      </c>
      <c r="R50" s="98">
        <v>0</v>
      </c>
      <c r="S50" s="98">
        <v>74</v>
      </c>
      <c r="T50" s="98">
        <v>4600.1099999999997</v>
      </c>
      <c r="U50" s="98">
        <f t="shared" si="6"/>
        <v>75</v>
      </c>
      <c r="V50" s="98">
        <f t="shared" si="7"/>
        <v>4631.28</v>
      </c>
      <c r="W50" s="110">
        <f>'Pri Sec_outstanding_6'!P50</f>
        <v>1263.72</v>
      </c>
      <c r="X50" s="110">
        <f t="shared" si="2"/>
        <v>5895</v>
      </c>
      <c r="Y50" s="110">
        <f>'CD Ratio_3(i)'!F50</f>
        <v>5895</v>
      </c>
      <c r="Z50" s="110">
        <f t="shared" si="3"/>
        <v>0</v>
      </c>
    </row>
    <row r="51" spans="1:26" ht="15" customHeight="1">
      <c r="A51" s="118">
        <v>45</v>
      </c>
      <c r="B51" s="116" t="s">
        <v>225</v>
      </c>
      <c r="C51" s="98">
        <v>56</v>
      </c>
      <c r="D51" s="98">
        <v>175</v>
      </c>
      <c r="E51" s="98">
        <v>0</v>
      </c>
      <c r="F51" s="98">
        <v>0</v>
      </c>
      <c r="G51" s="98">
        <v>0</v>
      </c>
      <c r="H51" s="98">
        <v>0</v>
      </c>
      <c r="I51" s="98">
        <v>0</v>
      </c>
      <c r="J51" s="98">
        <v>0</v>
      </c>
      <c r="K51" s="98">
        <v>0</v>
      </c>
      <c r="L51" s="98">
        <v>0</v>
      </c>
      <c r="M51" s="98">
        <v>0</v>
      </c>
      <c r="N51" s="98">
        <v>0</v>
      </c>
      <c r="O51" s="98">
        <v>3</v>
      </c>
      <c r="P51" s="98">
        <v>70</v>
      </c>
      <c r="Q51" s="98">
        <v>127</v>
      </c>
      <c r="R51" s="98">
        <v>516</v>
      </c>
      <c r="S51" s="98">
        <v>636</v>
      </c>
      <c r="T51" s="98">
        <v>8444</v>
      </c>
      <c r="U51" s="98">
        <f t="shared" si="6"/>
        <v>822</v>
      </c>
      <c r="V51" s="98">
        <f t="shared" si="7"/>
        <v>9205</v>
      </c>
      <c r="W51" s="110">
        <f>'Pri Sec_outstanding_6'!P51</f>
        <v>59707</v>
      </c>
      <c r="X51" s="110">
        <f t="shared" si="2"/>
        <v>68912</v>
      </c>
      <c r="Y51" s="110">
        <f>'CD Ratio_3(i)'!F51</f>
        <v>68912</v>
      </c>
      <c r="Z51" s="110">
        <f t="shared" si="3"/>
        <v>0</v>
      </c>
    </row>
    <row r="52" spans="1:26" ht="15" customHeight="1">
      <c r="A52" s="118">
        <v>46</v>
      </c>
      <c r="B52" s="116" t="s">
        <v>226</v>
      </c>
      <c r="C52" s="98">
        <v>5</v>
      </c>
      <c r="D52" s="98">
        <v>15</v>
      </c>
      <c r="E52" s="98">
        <v>4</v>
      </c>
      <c r="F52" s="98">
        <v>15</v>
      </c>
      <c r="G52" s="98">
        <v>7</v>
      </c>
      <c r="H52" s="98">
        <v>70</v>
      </c>
      <c r="I52" s="98">
        <v>10</v>
      </c>
      <c r="J52" s="98">
        <v>50</v>
      </c>
      <c r="K52" s="98">
        <v>21</v>
      </c>
      <c r="L52" s="98">
        <v>135</v>
      </c>
      <c r="M52" s="98">
        <v>5</v>
      </c>
      <c r="N52" s="98">
        <v>50</v>
      </c>
      <c r="O52" s="98">
        <v>7</v>
      </c>
      <c r="P52" s="98">
        <v>80</v>
      </c>
      <c r="Q52" s="98">
        <v>7</v>
      </c>
      <c r="R52" s="98">
        <v>70</v>
      </c>
      <c r="S52" s="98">
        <v>11</v>
      </c>
      <c r="T52" s="98">
        <v>540.70000000000005</v>
      </c>
      <c r="U52" s="98">
        <f t="shared" si="6"/>
        <v>56</v>
      </c>
      <c r="V52" s="98">
        <f t="shared" si="7"/>
        <v>890.7</v>
      </c>
      <c r="W52" s="110">
        <f>'Pri Sec_outstanding_6'!P52</f>
        <v>5069.5</v>
      </c>
      <c r="X52" s="110">
        <f t="shared" si="2"/>
        <v>5960.2</v>
      </c>
      <c r="Y52" s="110">
        <f>'CD Ratio_3(i)'!F52</f>
        <v>5960.2</v>
      </c>
      <c r="Z52" s="110">
        <f t="shared" si="3"/>
        <v>0</v>
      </c>
    </row>
    <row r="53" spans="1:26" ht="15" customHeight="1">
      <c r="A53" s="118">
        <v>47</v>
      </c>
      <c r="B53" s="116" t="s">
        <v>77</v>
      </c>
      <c r="C53" s="98">
        <v>0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98">
        <v>0</v>
      </c>
      <c r="J53" s="98">
        <v>0</v>
      </c>
      <c r="K53" s="98">
        <v>0</v>
      </c>
      <c r="L53" s="98">
        <v>0</v>
      </c>
      <c r="M53" s="98">
        <v>0</v>
      </c>
      <c r="N53" s="98">
        <v>0</v>
      </c>
      <c r="O53" s="98">
        <v>0</v>
      </c>
      <c r="P53" s="98">
        <v>0</v>
      </c>
      <c r="Q53" s="98">
        <v>0</v>
      </c>
      <c r="R53" s="98">
        <v>0</v>
      </c>
      <c r="S53" s="98">
        <v>0</v>
      </c>
      <c r="T53" s="98">
        <v>0</v>
      </c>
      <c r="U53" s="98">
        <f t="shared" si="6"/>
        <v>0</v>
      </c>
      <c r="V53" s="98">
        <f t="shared" si="7"/>
        <v>0</v>
      </c>
      <c r="W53" s="110">
        <f>'Pri Sec_outstanding_6'!P53</f>
        <v>1974</v>
      </c>
      <c r="X53" s="110">
        <f t="shared" si="2"/>
        <v>1974</v>
      </c>
      <c r="Y53" s="110">
        <f>'CD Ratio_3(i)'!F53</f>
        <v>1974</v>
      </c>
      <c r="Z53" s="110">
        <f t="shared" si="3"/>
        <v>0</v>
      </c>
    </row>
    <row r="54" spans="1:26" ht="15" customHeight="1">
      <c r="A54" s="118">
        <v>48</v>
      </c>
      <c r="B54" s="116" t="s">
        <v>227</v>
      </c>
      <c r="C54" s="98">
        <v>0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0</v>
      </c>
      <c r="K54" s="98">
        <v>0</v>
      </c>
      <c r="L54" s="98">
        <v>0</v>
      </c>
      <c r="M54" s="98">
        <v>0</v>
      </c>
      <c r="N54" s="98">
        <v>0</v>
      </c>
      <c r="O54" s="98"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f t="shared" si="6"/>
        <v>0</v>
      </c>
      <c r="V54" s="98">
        <f t="shared" si="7"/>
        <v>0</v>
      </c>
      <c r="W54" s="110">
        <f>'Pri Sec_outstanding_6'!P54</f>
        <v>5257</v>
      </c>
      <c r="X54" s="110">
        <f t="shared" si="2"/>
        <v>5257</v>
      </c>
      <c r="Y54" s="110">
        <f>'CD Ratio_3(i)'!F54</f>
        <v>5256.98</v>
      </c>
      <c r="Z54" s="110">
        <f t="shared" si="3"/>
        <v>2.0000000000436557E-2</v>
      </c>
    </row>
    <row r="55" spans="1:26" ht="15" customHeight="1">
      <c r="A55" s="118">
        <v>49</v>
      </c>
      <c r="B55" s="116" t="s">
        <v>76</v>
      </c>
      <c r="C55" s="98">
        <v>0</v>
      </c>
      <c r="D55" s="98">
        <v>0</v>
      </c>
      <c r="E55" s="98">
        <v>0</v>
      </c>
      <c r="F55" s="98">
        <v>0</v>
      </c>
      <c r="G55" s="98">
        <v>1</v>
      </c>
      <c r="H55" s="98">
        <v>252.34</v>
      </c>
      <c r="I55" s="98">
        <v>0</v>
      </c>
      <c r="J55" s="98">
        <v>0</v>
      </c>
      <c r="K55" s="98">
        <v>1</v>
      </c>
      <c r="L55" s="98">
        <v>252.34</v>
      </c>
      <c r="M55" s="98">
        <v>0</v>
      </c>
      <c r="N55" s="98">
        <v>0</v>
      </c>
      <c r="O55" s="98">
        <v>23</v>
      </c>
      <c r="P55" s="98">
        <v>602.65</v>
      </c>
      <c r="Q55" s="98">
        <v>76</v>
      </c>
      <c r="R55" s="98">
        <v>180.74</v>
      </c>
      <c r="S55" s="98">
        <v>389</v>
      </c>
      <c r="T55" s="98">
        <v>17925.7</v>
      </c>
      <c r="U55" s="98">
        <f t="shared" si="6"/>
        <v>489</v>
      </c>
      <c r="V55" s="98">
        <f t="shared" si="7"/>
        <v>18961.430000000004</v>
      </c>
      <c r="W55" s="110">
        <f>'Pri Sec_outstanding_6'!P55</f>
        <v>71291.41</v>
      </c>
      <c r="X55" s="110">
        <f t="shared" si="2"/>
        <v>90252.840000000011</v>
      </c>
      <c r="Y55" s="110">
        <f>'CD Ratio_3(i)'!F55</f>
        <v>90252.9</v>
      </c>
      <c r="Z55" s="110">
        <f t="shared" si="3"/>
        <v>-5.9999999983119778E-2</v>
      </c>
    </row>
    <row r="56" spans="1:26" s="111" customFormat="1" ht="15" customHeight="1">
      <c r="A56" s="105"/>
      <c r="B56" s="120" t="s">
        <v>287</v>
      </c>
      <c r="C56" s="105">
        <f>SUM(C34:C55)</f>
        <v>119</v>
      </c>
      <c r="D56" s="105">
        <f t="shared" ref="D56:T56" si="8">SUM(D34:D55)</f>
        <v>1814.7400000000002</v>
      </c>
      <c r="E56" s="105">
        <f t="shared" si="8"/>
        <v>4287</v>
      </c>
      <c r="F56" s="105">
        <f t="shared" si="8"/>
        <v>6824.91</v>
      </c>
      <c r="G56" s="105">
        <f t="shared" si="8"/>
        <v>152</v>
      </c>
      <c r="H56" s="105">
        <f t="shared" si="8"/>
        <v>6620.87</v>
      </c>
      <c r="I56" s="105">
        <f t="shared" si="8"/>
        <v>216</v>
      </c>
      <c r="J56" s="105">
        <f t="shared" si="8"/>
        <v>33514.800000000003</v>
      </c>
      <c r="K56" s="105">
        <f t="shared" si="8"/>
        <v>4655</v>
      </c>
      <c r="L56" s="105">
        <f t="shared" si="8"/>
        <v>46960.579999999994</v>
      </c>
      <c r="M56" s="105">
        <f t="shared" si="8"/>
        <v>38</v>
      </c>
      <c r="N56" s="105">
        <f t="shared" si="8"/>
        <v>480.11</v>
      </c>
      <c r="O56" s="105">
        <f t="shared" si="8"/>
        <v>7337</v>
      </c>
      <c r="P56" s="105">
        <f t="shared" si="8"/>
        <v>186353.18000000002</v>
      </c>
      <c r="Q56" s="105">
        <f t="shared" si="8"/>
        <v>40258</v>
      </c>
      <c r="R56" s="105">
        <f t="shared" si="8"/>
        <v>118987.03000000001</v>
      </c>
      <c r="S56" s="105">
        <f t="shared" si="8"/>
        <v>420132</v>
      </c>
      <c r="T56" s="105">
        <f t="shared" si="8"/>
        <v>1297915.2900000003</v>
      </c>
      <c r="U56" s="105">
        <f t="shared" si="6"/>
        <v>472539</v>
      </c>
      <c r="V56" s="105">
        <f t="shared" si="7"/>
        <v>1652510.9300000004</v>
      </c>
      <c r="W56" s="110">
        <f>'Pri Sec_outstanding_6'!P56</f>
        <v>2331782.15</v>
      </c>
      <c r="X56" s="110">
        <f t="shared" si="2"/>
        <v>3984293.08</v>
      </c>
      <c r="Y56" s="110">
        <f>'CD Ratio_3(i)'!F56</f>
        <v>3984293.3200000003</v>
      </c>
      <c r="Z56" s="110">
        <f t="shared" si="3"/>
        <v>-0.24000000022351742</v>
      </c>
    </row>
    <row r="57" spans="1:26" ht="15" customHeight="1">
      <c r="A57" s="118">
        <v>48</v>
      </c>
      <c r="B57" s="116" t="s">
        <v>46</v>
      </c>
      <c r="C57" s="98">
        <v>0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98">
        <v>0</v>
      </c>
      <c r="J57" s="98">
        <v>0</v>
      </c>
      <c r="K57" s="98">
        <v>0</v>
      </c>
      <c r="L57" s="98">
        <v>0</v>
      </c>
      <c r="M57" s="98">
        <v>0</v>
      </c>
      <c r="N57" s="98">
        <v>0</v>
      </c>
      <c r="O57" s="98">
        <v>220</v>
      </c>
      <c r="P57" s="98">
        <v>2771.48</v>
      </c>
      <c r="Q57" s="98">
        <v>10648</v>
      </c>
      <c r="R57" s="98">
        <v>8577.06</v>
      </c>
      <c r="S57" s="98">
        <v>18899</v>
      </c>
      <c r="T57" s="98">
        <v>33589.5</v>
      </c>
      <c r="U57" s="98">
        <f t="shared" si="6"/>
        <v>29767</v>
      </c>
      <c r="V57" s="98">
        <f t="shared" si="7"/>
        <v>44938.04</v>
      </c>
      <c r="W57" s="110">
        <f>'Pri Sec_outstanding_6'!P57</f>
        <v>355159.82000000007</v>
      </c>
      <c r="X57" s="110">
        <f t="shared" si="2"/>
        <v>400097.86000000004</v>
      </c>
      <c r="Y57" s="110">
        <f>'CD Ratio_3(i)'!F57</f>
        <v>400097.86</v>
      </c>
      <c r="Z57" s="110">
        <f t="shared" si="3"/>
        <v>0</v>
      </c>
    </row>
    <row r="58" spans="1:26" ht="15" customHeight="1">
      <c r="A58" s="118">
        <v>49</v>
      </c>
      <c r="B58" s="116" t="s">
        <v>228</v>
      </c>
      <c r="C58" s="98">
        <v>0</v>
      </c>
      <c r="D58" s="98">
        <v>0</v>
      </c>
      <c r="E58" s="98">
        <v>0</v>
      </c>
      <c r="F58" s="98">
        <v>0</v>
      </c>
      <c r="G58" s="98">
        <v>0</v>
      </c>
      <c r="H58" s="98">
        <v>0</v>
      </c>
      <c r="I58" s="98">
        <v>0</v>
      </c>
      <c r="J58" s="98">
        <v>0</v>
      </c>
      <c r="K58" s="98">
        <v>0</v>
      </c>
      <c r="L58" s="98">
        <v>0</v>
      </c>
      <c r="M58" s="98">
        <v>0</v>
      </c>
      <c r="N58" s="98">
        <v>0</v>
      </c>
      <c r="O58" s="98">
        <v>5</v>
      </c>
      <c r="P58" s="98">
        <v>135</v>
      </c>
      <c r="Q58" s="98">
        <v>6287</v>
      </c>
      <c r="R58" s="98">
        <v>5590</v>
      </c>
      <c r="S58" s="98">
        <v>9452</v>
      </c>
      <c r="T58" s="98">
        <v>11003</v>
      </c>
      <c r="U58" s="98">
        <f t="shared" si="6"/>
        <v>15744</v>
      </c>
      <c r="V58" s="98">
        <f t="shared" si="7"/>
        <v>16728</v>
      </c>
      <c r="W58" s="110">
        <f>'Pri Sec_outstanding_6'!P58</f>
        <v>242886</v>
      </c>
      <c r="X58" s="110">
        <f t="shared" si="2"/>
        <v>259614</v>
      </c>
      <c r="Y58" s="110">
        <f>'CD Ratio_3(i)'!F58</f>
        <v>259614</v>
      </c>
      <c r="Z58" s="110">
        <f t="shared" si="3"/>
        <v>0</v>
      </c>
    </row>
    <row r="59" spans="1:26" ht="15" customHeight="1">
      <c r="A59" s="118">
        <v>50</v>
      </c>
      <c r="B59" s="116" t="s">
        <v>52</v>
      </c>
      <c r="C59" s="98">
        <v>0</v>
      </c>
      <c r="D59" s="98">
        <v>0</v>
      </c>
      <c r="E59" s="98">
        <v>0</v>
      </c>
      <c r="F59" s="98">
        <v>0</v>
      </c>
      <c r="G59" s="98">
        <v>0</v>
      </c>
      <c r="H59" s="98">
        <v>0</v>
      </c>
      <c r="I59" s="98">
        <v>0</v>
      </c>
      <c r="J59" s="98">
        <v>0</v>
      </c>
      <c r="K59" s="98">
        <v>0</v>
      </c>
      <c r="L59" s="98">
        <v>0</v>
      </c>
      <c r="M59" s="98">
        <v>0</v>
      </c>
      <c r="N59" s="98">
        <v>0</v>
      </c>
      <c r="O59" s="98">
        <v>867</v>
      </c>
      <c r="P59" s="98">
        <v>810.19</v>
      </c>
      <c r="Q59" s="98">
        <v>2019</v>
      </c>
      <c r="R59" s="98">
        <v>971.84</v>
      </c>
      <c r="S59" s="98">
        <v>19846</v>
      </c>
      <c r="T59" s="98">
        <v>36523.08</v>
      </c>
      <c r="U59" s="98">
        <f t="shared" si="6"/>
        <v>22732</v>
      </c>
      <c r="V59" s="98">
        <f t="shared" si="7"/>
        <v>38305.11</v>
      </c>
      <c r="W59" s="110">
        <f>'Pri Sec_outstanding_6'!P59</f>
        <v>410396.82</v>
      </c>
      <c r="X59" s="110">
        <f t="shared" si="2"/>
        <v>448701.93</v>
      </c>
      <c r="Y59" s="110">
        <f>'CD Ratio_3(i)'!F59</f>
        <v>448702.19</v>
      </c>
      <c r="Z59" s="110">
        <f t="shared" si="3"/>
        <v>-0.26000000000931323</v>
      </c>
    </row>
    <row r="60" spans="1:26" s="111" customFormat="1">
      <c r="A60" s="352"/>
      <c r="B60" s="105" t="s">
        <v>293</v>
      </c>
      <c r="C60" s="105">
        <f>SUM(C57:C59)</f>
        <v>0</v>
      </c>
      <c r="D60" s="105">
        <f t="shared" ref="D60:T60" si="9">SUM(D57:D59)</f>
        <v>0</v>
      </c>
      <c r="E60" s="105">
        <f t="shared" si="9"/>
        <v>0</v>
      </c>
      <c r="F60" s="105">
        <f t="shared" si="9"/>
        <v>0</v>
      </c>
      <c r="G60" s="105">
        <f t="shared" si="9"/>
        <v>0</v>
      </c>
      <c r="H60" s="105">
        <f t="shared" si="9"/>
        <v>0</v>
      </c>
      <c r="I60" s="105">
        <f t="shared" si="9"/>
        <v>0</v>
      </c>
      <c r="J60" s="105">
        <f t="shared" si="9"/>
        <v>0</v>
      </c>
      <c r="K60" s="105">
        <f t="shared" si="9"/>
        <v>0</v>
      </c>
      <c r="L60" s="105">
        <f t="shared" si="9"/>
        <v>0</v>
      </c>
      <c r="M60" s="105">
        <f t="shared" si="9"/>
        <v>0</v>
      </c>
      <c r="N60" s="105">
        <f t="shared" si="9"/>
        <v>0</v>
      </c>
      <c r="O60" s="105">
        <f t="shared" si="9"/>
        <v>1092</v>
      </c>
      <c r="P60" s="105">
        <f t="shared" si="9"/>
        <v>3716.67</v>
      </c>
      <c r="Q60" s="105">
        <f t="shared" si="9"/>
        <v>18954</v>
      </c>
      <c r="R60" s="105">
        <f t="shared" si="9"/>
        <v>15138.9</v>
      </c>
      <c r="S60" s="105">
        <f t="shared" si="9"/>
        <v>48197</v>
      </c>
      <c r="T60" s="105">
        <f t="shared" si="9"/>
        <v>81115.58</v>
      </c>
      <c r="U60" s="105">
        <f t="shared" si="6"/>
        <v>68243</v>
      </c>
      <c r="V60" s="105">
        <f t="shared" si="7"/>
        <v>99971.15</v>
      </c>
      <c r="W60" s="110">
        <f>'Pri Sec_outstanding_6'!P60</f>
        <v>1008442.64</v>
      </c>
      <c r="X60" s="110">
        <f t="shared" si="2"/>
        <v>1108413.79</v>
      </c>
      <c r="Y60" s="110">
        <f>'CD Ratio_3(i)'!F60</f>
        <v>1108414.05</v>
      </c>
      <c r="Z60" s="110">
        <f t="shared" si="3"/>
        <v>-0.26000000000931323</v>
      </c>
    </row>
    <row r="61" spans="1:26">
      <c r="A61" s="118">
        <v>51</v>
      </c>
      <c r="B61" s="98" t="s">
        <v>288</v>
      </c>
      <c r="C61" s="98">
        <v>0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0</v>
      </c>
      <c r="J61" s="98">
        <v>0</v>
      </c>
      <c r="K61" s="98">
        <v>0</v>
      </c>
      <c r="L61" s="98">
        <v>0</v>
      </c>
      <c r="M61" s="98">
        <v>0</v>
      </c>
      <c r="N61" s="98">
        <v>0</v>
      </c>
      <c r="O61" s="98">
        <v>0</v>
      </c>
      <c r="P61" s="98">
        <v>0</v>
      </c>
      <c r="Q61" s="98">
        <v>0</v>
      </c>
      <c r="R61" s="98">
        <v>0</v>
      </c>
      <c r="S61" s="98">
        <v>0</v>
      </c>
      <c r="T61" s="98">
        <v>0</v>
      </c>
      <c r="U61" s="98">
        <f t="shared" si="6"/>
        <v>0</v>
      </c>
      <c r="V61" s="98">
        <f t="shared" si="7"/>
        <v>0</v>
      </c>
      <c r="W61" s="110">
        <f>'Pri Sec_outstanding_6'!P61</f>
        <v>3171924</v>
      </c>
      <c r="X61" s="110">
        <f t="shared" si="2"/>
        <v>3171924</v>
      </c>
      <c r="Y61" s="110">
        <f>'CD Ratio_3(i)'!F61</f>
        <v>3171924</v>
      </c>
      <c r="Z61" s="110">
        <f t="shared" si="3"/>
        <v>0</v>
      </c>
    </row>
    <row r="62" spans="1:26" s="111" customFormat="1">
      <c r="A62" s="352"/>
      <c r="B62" s="105" t="s">
        <v>289</v>
      </c>
      <c r="C62" s="105">
        <f>C61</f>
        <v>0</v>
      </c>
      <c r="D62" s="105">
        <f t="shared" ref="D62:T62" si="10">D61</f>
        <v>0</v>
      </c>
      <c r="E62" s="105">
        <f t="shared" si="10"/>
        <v>0</v>
      </c>
      <c r="F62" s="105">
        <f t="shared" si="10"/>
        <v>0</v>
      </c>
      <c r="G62" s="105">
        <f t="shared" si="10"/>
        <v>0</v>
      </c>
      <c r="H62" s="105">
        <f t="shared" si="10"/>
        <v>0</v>
      </c>
      <c r="I62" s="105">
        <f t="shared" si="10"/>
        <v>0</v>
      </c>
      <c r="J62" s="105">
        <f t="shared" si="10"/>
        <v>0</v>
      </c>
      <c r="K62" s="105">
        <f t="shared" si="10"/>
        <v>0</v>
      </c>
      <c r="L62" s="105">
        <f t="shared" si="10"/>
        <v>0</v>
      </c>
      <c r="M62" s="105">
        <f t="shared" si="10"/>
        <v>0</v>
      </c>
      <c r="N62" s="105">
        <f t="shared" si="10"/>
        <v>0</v>
      </c>
      <c r="O62" s="105">
        <f t="shared" si="10"/>
        <v>0</v>
      </c>
      <c r="P62" s="105">
        <f t="shared" si="10"/>
        <v>0</v>
      </c>
      <c r="Q62" s="105">
        <f t="shared" si="10"/>
        <v>0</v>
      </c>
      <c r="R62" s="105">
        <f t="shared" si="10"/>
        <v>0</v>
      </c>
      <c r="S62" s="105">
        <f t="shared" si="10"/>
        <v>0</v>
      </c>
      <c r="T62" s="105">
        <f t="shared" si="10"/>
        <v>0</v>
      </c>
      <c r="U62" s="105">
        <f t="shared" si="6"/>
        <v>0</v>
      </c>
      <c r="V62" s="105">
        <f t="shared" si="7"/>
        <v>0</v>
      </c>
      <c r="W62" s="110">
        <f>'Pri Sec_outstanding_6'!P62</f>
        <v>3171924</v>
      </c>
      <c r="X62" s="110">
        <f t="shared" si="2"/>
        <v>3171924</v>
      </c>
      <c r="Y62" s="110">
        <f>'CD Ratio_3(i)'!F62</f>
        <v>3171924</v>
      </c>
      <c r="Z62" s="110">
        <f t="shared" si="3"/>
        <v>0</v>
      </c>
    </row>
    <row r="63" spans="1:26" s="111" customFormat="1">
      <c r="A63" s="352"/>
      <c r="B63" s="105" t="s">
        <v>290</v>
      </c>
      <c r="C63" s="105">
        <f>C62+C60+C56+C33</f>
        <v>17111</v>
      </c>
      <c r="D63" s="105">
        <f t="shared" ref="D63:T63" si="11">D62+D60+D56+D33</f>
        <v>159294.44</v>
      </c>
      <c r="E63" s="105">
        <f t="shared" si="11"/>
        <v>5054</v>
      </c>
      <c r="F63" s="105">
        <f t="shared" si="11"/>
        <v>28485.789999999997</v>
      </c>
      <c r="G63" s="105">
        <f t="shared" si="11"/>
        <v>542</v>
      </c>
      <c r="H63" s="105">
        <f t="shared" si="11"/>
        <v>92997.54</v>
      </c>
      <c r="I63" s="105">
        <f t="shared" si="11"/>
        <v>712</v>
      </c>
      <c r="J63" s="105">
        <f t="shared" si="11"/>
        <v>395405.31</v>
      </c>
      <c r="K63" s="105">
        <f t="shared" si="11"/>
        <v>6308</v>
      </c>
      <c r="L63" s="105">
        <f t="shared" si="11"/>
        <v>516888.64</v>
      </c>
      <c r="M63" s="105">
        <f t="shared" si="11"/>
        <v>3534</v>
      </c>
      <c r="N63" s="105">
        <f t="shared" si="11"/>
        <v>22118.67</v>
      </c>
      <c r="O63" s="105">
        <f t="shared" si="11"/>
        <v>33602</v>
      </c>
      <c r="P63" s="105">
        <f t="shared" si="11"/>
        <v>756223.82000000007</v>
      </c>
      <c r="Q63" s="105">
        <f t="shared" si="11"/>
        <v>1151847</v>
      </c>
      <c r="R63" s="105">
        <f t="shared" si="11"/>
        <v>1267164.26</v>
      </c>
      <c r="S63" s="105">
        <f t="shared" si="11"/>
        <v>730152</v>
      </c>
      <c r="T63" s="105">
        <f t="shared" si="11"/>
        <v>5442939.6900000004</v>
      </c>
      <c r="U63" s="105">
        <f t="shared" si="6"/>
        <v>1942554</v>
      </c>
      <c r="V63" s="105">
        <f t="shared" si="7"/>
        <v>8164629.5200000005</v>
      </c>
      <c r="W63" s="110">
        <f>'Pri Sec_outstanding_6'!P63</f>
        <v>15841732.309999997</v>
      </c>
      <c r="X63" s="110">
        <f t="shared" si="2"/>
        <v>24006361.829999998</v>
      </c>
      <c r="Y63" s="110">
        <f>'CD Ratio_3(i)'!F63</f>
        <v>24006362.350000001</v>
      </c>
      <c r="Z63" s="110">
        <f t="shared" si="3"/>
        <v>-0.52000000327825546</v>
      </c>
    </row>
    <row r="64" spans="1:26" hidden="1"/>
    <row r="65" spans="3:22" hidden="1"/>
    <row r="66" spans="3:22" hidden="1">
      <c r="C66" s="110">
        <v>17024</v>
      </c>
      <c r="D66" s="110">
        <v>143174.93</v>
      </c>
      <c r="E66" s="110">
        <v>8782</v>
      </c>
      <c r="F66" s="110">
        <v>57723.229999999996</v>
      </c>
      <c r="G66" s="110">
        <v>995</v>
      </c>
      <c r="H66" s="110">
        <v>135477.49</v>
      </c>
      <c r="I66" s="110">
        <v>657</v>
      </c>
      <c r="J66" s="110">
        <v>335324.09999999998</v>
      </c>
      <c r="K66" s="110">
        <v>10434</v>
      </c>
      <c r="L66" s="110">
        <v>528524.81999999995</v>
      </c>
      <c r="M66" s="110">
        <v>3464</v>
      </c>
      <c r="N66" s="110">
        <v>33990.51</v>
      </c>
      <c r="O66" s="110">
        <v>29251</v>
      </c>
      <c r="P66" s="110">
        <v>697837.15999999992</v>
      </c>
      <c r="Q66" s="110">
        <v>177590</v>
      </c>
      <c r="R66" s="110">
        <v>1016244.6200000001</v>
      </c>
      <c r="S66" s="110">
        <v>293329</v>
      </c>
      <c r="T66" s="110">
        <v>5709857.4900000002</v>
      </c>
      <c r="U66" s="110">
        <v>531092</v>
      </c>
      <c r="V66" s="110">
        <v>8129629.5300000003</v>
      </c>
    </row>
    <row r="67" spans="3:22" hidden="1"/>
    <row r="68" spans="3:22" s="111" customFormat="1" hidden="1">
      <c r="D68" s="111">
        <f t="shared" ref="D68:V68" si="12">D63-D66</f>
        <v>16119.510000000009</v>
      </c>
      <c r="F68" s="111">
        <f t="shared" si="12"/>
        <v>-29237.439999999999</v>
      </c>
      <c r="H68" s="111">
        <f t="shared" si="12"/>
        <v>-42479.95</v>
      </c>
      <c r="J68" s="111">
        <f t="shared" si="12"/>
        <v>60081.210000000021</v>
      </c>
      <c r="L68" s="111">
        <f t="shared" si="12"/>
        <v>-11636.179999999935</v>
      </c>
      <c r="N68" s="111">
        <f t="shared" si="12"/>
        <v>-11871.840000000004</v>
      </c>
      <c r="P68" s="111">
        <f t="shared" si="12"/>
        <v>58386.660000000149</v>
      </c>
      <c r="Q68" s="111">
        <f t="shared" si="12"/>
        <v>974257</v>
      </c>
      <c r="R68" s="111">
        <f t="shared" si="12"/>
        <v>250919.6399999999</v>
      </c>
      <c r="T68" s="111">
        <f t="shared" si="12"/>
        <v>-266917.79999999981</v>
      </c>
      <c r="V68" s="111">
        <f t="shared" si="12"/>
        <v>34999.990000000224</v>
      </c>
    </row>
    <row r="69" spans="3:22" hidden="1"/>
    <row r="70" spans="3:22" hidden="1"/>
    <row r="71" spans="3:22" hidden="1">
      <c r="U71" s="110">
        <f>'Pri Sec_outstanding_6'!O63</f>
        <v>11531913</v>
      </c>
      <c r="V71" s="110">
        <f>U63+U71</f>
        <v>13474467</v>
      </c>
    </row>
    <row r="72" spans="3:22" hidden="1"/>
    <row r="73" spans="3:22" hidden="1">
      <c r="V73" s="108">
        <f>V71/100000</f>
        <v>134.74467000000001</v>
      </c>
    </row>
    <row r="74" spans="3:22" hidden="1"/>
    <row r="75" spans="3:22" hidden="1"/>
    <row r="80" spans="3:22">
      <c r="M80" s="110">
        <f>M63+'Pri Sec_outstanding_6'!E63</f>
        <v>85059</v>
      </c>
      <c r="N80" s="110">
        <f>N63+'Pri Sec_outstanding_6'!F63</f>
        <v>223968.76</v>
      </c>
    </row>
  </sheetData>
  <autoFilter ref="C5:Z63"/>
  <mergeCells count="15">
    <mergeCell ref="A1:V1"/>
    <mergeCell ref="A2:A5"/>
    <mergeCell ref="B2:B5"/>
    <mergeCell ref="C2:V2"/>
    <mergeCell ref="C3:D4"/>
    <mergeCell ref="E3:L3"/>
    <mergeCell ref="M3:N4"/>
    <mergeCell ref="O3:P4"/>
    <mergeCell ref="Q3:R4"/>
    <mergeCell ref="S3:T4"/>
    <mergeCell ref="U3:V4"/>
    <mergeCell ref="E4:F4"/>
    <mergeCell ref="G4:H4"/>
    <mergeCell ref="I4:J4"/>
    <mergeCell ref="K4:L4"/>
  </mergeCells>
  <conditionalFormatting sqref="B6">
    <cfRule type="duplicateValues" dxfId="160" priority="3"/>
  </conditionalFormatting>
  <conditionalFormatting sqref="B22">
    <cfRule type="duplicateValues" dxfId="159" priority="4"/>
  </conditionalFormatting>
  <conditionalFormatting sqref="B33:B34 B26:B30">
    <cfRule type="duplicateValues" dxfId="158" priority="5"/>
  </conditionalFormatting>
  <conditionalFormatting sqref="B52">
    <cfRule type="duplicateValues" dxfId="157" priority="6"/>
  </conditionalFormatting>
  <conditionalFormatting sqref="B56">
    <cfRule type="duplicateValues" dxfId="156" priority="7"/>
  </conditionalFormatting>
  <conditionalFormatting sqref="B58">
    <cfRule type="duplicateValues" dxfId="155" priority="8"/>
  </conditionalFormatting>
  <conditionalFormatting sqref="Z1:Z1048576">
    <cfRule type="cellIs" dxfId="154" priority="1" operator="lessThan">
      <formula>0</formula>
    </cfRule>
    <cfRule type="cellIs" dxfId="153" priority="2" operator="greaterThan">
      <formula>0</formula>
    </cfRule>
  </conditionalFormatting>
  <pageMargins left="0.7" right="0.7" top="0.25" bottom="0.25" header="0.3" footer="0.3"/>
  <pageSetup paperSize="9" scale="56" orientation="landscape" r:id="rId1"/>
  <headerFooter>
    <oddFooter>&amp;CData Table, State Level Banker's Committee, M.P. as on 31.12.2016 Page No. 82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C1C91FC-83A2-4768-8982-51E97B215B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36</vt:i4>
      </vt:variant>
    </vt:vector>
  </HeadingPairs>
  <TitlesOfParts>
    <vt:vector size="74" baseType="lpstr">
      <vt:lpstr>Branch ATM_1</vt:lpstr>
      <vt:lpstr>CD Ratio_2</vt:lpstr>
      <vt:lpstr>CD Ratio_3(i)</vt:lpstr>
      <vt:lpstr>CD Ratio_Dist_3(ii)</vt:lpstr>
      <vt:lpstr>OutstandingAgri_4</vt:lpstr>
      <vt:lpstr>MSMEoutstanding_5</vt:lpstr>
      <vt:lpstr>Pri Sec_outstanding_6</vt:lpstr>
      <vt:lpstr>Weaker Sec_7</vt:lpstr>
      <vt:lpstr>NPS_OS_8</vt:lpstr>
      <vt:lpstr>ACP_Agri_9(i)</vt:lpstr>
      <vt:lpstr>ACP_Agri_9(ii)</vt:lpstr>
      <vt:lpstr>ACP_MSME_10</vt:lpstr>
      <vt:lpstr>ACP_PS_11(i)</vt:lpstr>
      <vt:lpstr>ACP_PS_11(ii)</vt:lpstr>
      <vt:lpstr>ACP_NPS_12</vt:lpstr>
      <vt:lpstr>NPA_13</vt:lpstr>
      <vt:lpstr>NPA_PS_14</vt:lpstr>
      <vt:lpstr>NPA_NPS_15</vt:lpstr>
      <vt:lpstr>NPA_Govt. Sch16</vt:lpstr>
      <vt:lpstr>KCC_17</vt:lpstr>
      <vt:lpstr>Education Loan_18</vt:lpstr>
      <vt:lpstr>SHGs_19</vt:lpstr>
      <vt:lpstr>Restructured Acs_33</vt:lpstr>
      <vt:lpstr>Minority_OS_20</vt:lpstr>
      <vt:lpstr>Minority_Disb_21</vt:lpstr>
      <vt:lpstr>SCST_OS_22</vt:lpstr>
      <vt:lpstr>SCST_Disb_23</vt:lpstr>
      <vt:lpstr>Women_24</vt:lpstr>
      <vt:lpstr>Brick&amp; mortar_25</vt:lpstr>
      <vt:lpstr>BRISC_26</vt:lpstr>
      <vt:lpstr>PMEGP_27</vt:lpstr>
      <vt:lpstr>CMRHM_28</vt:lpstr>
      <vt:lpstr>PMMY_29</vt:lpstr>
      <vt:lpstr>SUI_30</vt:lpstr>
      <vt:lpstr>NRLM_31</vt:lpstr>
      <vt:lpstr>RSETI_32</vt:lpstr>
      <vt:lpstr>PMJDY_33</vt:lpstr>
      <vt:lpstr>SSS_34</vt:lpstr>
      <vt:lpstr>'ACP_Agri_9(i)'!Print_Area</vt:lpstr>
      <vt:lpstr>'ACP_Agri_9(ii)'!Print_Area</vt:lpstr>
      <vt:lpstr>ACP_MSME_10!Print_Area</vt:lpstr>
      <vt:lpstr>ACP_NPS_12!Print_Area</vt:lpstr>
      <vt:lpstr>'ACP_PS_11(i)'!Print_Area</vt:lpstr>
      <vt:lpstr>'ACP_PS_11(ii)'!Print_Area</vt:lpstr>
      <vt:lpstr>'Branch ATM_1'!Print_Area</vt:lpstr>
      <vt:lpstr>'Brick&amp; mortar_25'!Print_Area</vt:lpstr>
      <vt:lpstr>BRISC_26!Print_Area</vt:lpstr>
      <vt:lpstr>'CD Ratio_2'!Print_Area</vt:lpstr>
      <vt:lpstr>'CD Ratio_3(i)'!Print_Area</vt:lpstr>
      <vt:lpstr>'CD Ratio_Dist_3(ii)'!Print_Area</vt:lpstr>
      <vt:lpstr>CMRHM_28!Print_Area</vt:lpstr>
      <vt:lpstr>'Education Loan_18'!Print_Area</vt:lpstr>
      <vt:lpstr>KCC_17!Print_Area</vt:lpstr>
      <vt:lpstr>Minority_Disb_21!Print_Area</vt:lpstr>
      <vt:lpstr>Minority_OS_20!Print_Area</vt:lpstr>
      <vt:lpstr>MSMEoutstanding_5!Print_Area</vt:lpstr>
      <vt:lpstr>NPA_13!Print_Area</vt:lpstr>
      <vt:lpstr>'NPA_Govt. Sch16'!Print_Area</vt:lpstr>
      <vt:lpstr>NPA_NPS_15!Print_Area</vt:lpstr>
      <vt:lpstr>NPA_PS_14!Print_Area</vt:lpstr>
      <vt:lpstr>NPS_OS_8!Print_Area</vt:lpstr>
      <vt:lpstr>NRLM_31!Print_Area</vt:lpstr>
      <vt:lpstr>OutstandingAgri_4!Print_Area</vt:lpstr>
      <vt:lpstr>PMJDY_33!Print_Area</vt:lpstr>
      <vt:lpstr>PMMY_29!Print_Area</vt:lpstr>
      <vt:lpstr>'Pri Sec_outstanding_6'!Print_Area</vt:lpstr>
      <vt:lpstr>RSETI_32!Print_Area</vt:lpstr>
      <vt:lpstr>SCST_Disb_23!Print_Area</vt:lpstr>
      <vt:lpstr>SCST_OS_22!Print_Area</vt:lpstr>
      <vt:lpstr>SHGs_19!Print_Area</vt:lpstr>
      <vt:lpstr>SUI_30!Print_Area</vt:lpstr>
      <vt:lpstr>'Weaker Sec_7'!Print_Area</vt:lpstr>
      <vt:lpstr>Women_24!Print_Area</vt:lpstr>
      <vt:lpstr>'Branch ATM_1'!Print_Titles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2015-10-29T06:25:08Z</dcterms:created>
  <dcterms:modified xsi:type="dcterms:W3CDTF">2017-09-13T05:36:48Z</dcterms:modified>
</cp:coreProperties>
</file>